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0" windowWidth="15480" windowHeight="9375" tabRatio="815"/>
  </bookViews>
  <sheets>
    <sheet name="Приложение к отчету за 2021 г" sheetId="35" r:id="rId1"/>
    <sheet name="Изменения №15" sheetId="21" state="hidden" r:id="rId2"/>
    <sheet name="изм. 31" sheetId="36" state="hidden" r:id="rId3"/>
    <sheet name="Лист1" sheetId="37" r:id="rId4"/>
  </sheets>
  <definedNames>
    <definedName name="_xlnm.Print_Titles" localSheetId="0">'Приложение к отчету за 2021 г'!$7:$7</definedName>
  </definedNames>
  <calcPr calcId="145621"/>
</workbook>
</file>

<file path=xl/calcChain.xml><?xml version="1.0" encoding="utf-8"?>
<calcChain xmlns="http://schemas.openxmlformats.org/spreadsheetml/2006/main">
  <c r="D67" i="35" l="1"/>
  <c r="D28" i="35" s="1"/>
  <c r="D66" i="35" l="1"/>
  <c r="D27" i="35" s="1"/>
  <c r="D10" i="35"/>
  <c r="E224" i="35"/>
  <c r="E227" i="35"/>
  <c r="D65" i="35" l="1"/>
  <c r="D20" i="35" s="1"/>
  <c r="D491" i="35"/>
  <c r="D467" i="35" s="1"/>
  <c r="E209" i="35"/>
  <c r="E212" i="35"/>
  <c r="E229" i="35"/>
  <c r="E231" i="35"/>
  <c r="E81" i="35"/>
  <c r="E80" i="35"/>
  <c r="D269" i="35"/>
  <c r="D572" i="35" l="1"/>
  <c r="D569" i="35"/>
  <c r="D567" i="35" s="1"/>
  <c r="D570" i="35"/>
  <c r="D568" i="35"/>
  <c r="C569" i="35"/>
  <c r="C570" i="35"/>
  <c r="C568" i="35"/>
  <c r="C571"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51" i="35"/>
  <c r="A52" i="35"/>
  <c r="A53" i="35"/>
  <c r="A54" i="35"/>
  <c r="A55" i="35"/>
  <c r="A56" i="35"/>
  <c r="A57" i="35"/>
  <c r="A58" i="35"/>
  <c r="A59" i="35"/>
  <c r="A60" i="35"/>
  <c r="A61" i="35"/>
  <c r="A62" i="35"/>
  <c r="A63" i="35"/>
  <c r="A64" i="35"/>
  <c r="A65" i="35"/>
  <c r="A66" i="35"/>
  <c r="A67" i="35"/>
  <c r="A68" i="35"/>
  <c r="A69" i="35"/>
  <c r="A70" i="35"/>
  <c r="A71" i="35"/>
  <c r="A72" i="35"/>
  <c r="A73" i="35"/>
  <c r="A74" i="35"/>
  <c r="A75" i="35"/>
  <c r="A76" i="35"/>
  <c r="A77" i="35"/>
  <c r="A78" i="35"/>
  <c r="A79" i="35"/>
  <c r="A80" i="35"/>
  <c r="A81" i="35"/>
  <c r="A82" i="35"/>
  <c r="A83" i="35"/>
  <c r="A84" i="35"/>
  <c r="A85" i="35"/>
  <c r="A86" i="35"/>
  <c r="A87" i="35"/>
  <c r="A88" i="35"/>
  <c r="A89" i="35"/>
  <c r="A90" i="35"/>
  <c r="A91" i="35"/>
  <c r="A92" i="35"/>
  <c r="A93" i="35"/>
  <c r="A94" i="35"/>
  <c r="A95" i="35"/>
  <c r="A96" i="35"/>
  <c r="A97" i="35"/>
  <c r="A98" i="35"/>
  <c r="A99" i="35"/>
  <c r="A100" i="35"/>
  <c r="A101" i="35"/>
  <c r="A102" i="35"/>
  <c r="A103" i="35"/>
  <c r="A104" i="35"/>
  <c r="A105" i="35"/>
  <c r="A106" i="35"/>
  <c r="A107" i="35"/>
  <c r="A108" i="35"/>
  <c r="A109" i="35"/>
  <c r="A110" i="35"/>
  <c r="A111" i="35"/>
  <c r="A112" i="35"/>
  <c r="A113" i="35"/>
  <c r="A114" i="35"/>
  <c r="A115" i="35"/>
  <c r="A116" i="35"/>
  <c r="A117" i="35"/>
  <c r="A118" i="35"/>
  <c r="A119" i="35"/>
  <c r="A120" i="35"/>
  <c r="A121" i="35"/>
  <c r="A122" i="35"/>
  <c r="A123" i="35"/>
  <c r="A124" i="35"/>
  <c r="A125" i="35"/>
  <c r="A126" i="35"/>
  <c r="A127" i="35"/>
  <c r="A128" i="35"/>
  <c r="A129" i="35"/>
  <c r="A130" i="35"/>
  <c r="A131" i="35"/>
  <c r="A132" i="35"/>
  <c r="A133" i="35"/>
  <c r="A134" i="35"/>
  <c r="A135" i="35"/>
  <c r="A136" i="35"/>
  <c r="A137" i="35"/>
  <c r="A138" i="35"/>
  <c r="A139" i="35"/>
  <c r="A140" i="35"/>
  <c r="A141" i="35"/>
  <c r="A142" i="35"/>
  <c r="A143" i="35"/>
  <c r="A144" i="35"/>
  <c r="A145" i="35"/>
  <c r="A146" i="35"/>
  <c r="A147" i="35"/>
  <c r="A148" i="35"/>
  <c r="A149" i="35"/>
  <c r="A150" i="35"/>
  <c r="A151" i="35"/>
  <c r="A152" i="35"/>
  <c r="A153" i="35"/>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240" i="35"/>
  <c r="A241" i="35"/>
  <c r="A242" i="35"/>
  <c r="A243" i="35"/>
  <c r="A244" i="35"/>
  <c r="A245" i="35"/>
  <c r="A246" i="35"/>
  <c r="A247" i="35"/>
  <c r="A248" i="35"/>
  <c r="A249" i="35"/>
  <c r="A250" i="35"/>
  <c r="A251" i="35"/>
  <c r="A252" i="35"/>
  <c r="A253" i="35"/>
  <c r="A254" i="35"/>
  <c r="A255" i="35"/>
  <c r="A256" i="35"/>
  <c r="A257" i="35"/>
  <c r="A258" i="35"/>
  <c r="A259" i="35"/>
  <c r="A260" i="35"/>
  <c r="A261" i="35"/>
  <c r="A262" i="35"/>
  <c r="A263" i="35"/>
  <c r="A264" i="35"/>
  <c r="A265" i="35"/>
  <c r="A266" i="35"/>
  <c r="A267" i="35"/>
  <c r="A268" i="35"/>
  <c r="A269" i="35"/>
  <c r="A270" i="35"/>
  <c r="A271" i="35"/>
  <c r="A272" i="35"/>
  <c r="A273" i="35"/>
  <c r="A274" i="35"/>
  <c r="A275" i="35"/>
  <c r="A276" i="35"/>
  <c r="A277" i="35"/>
  <c r="A278" i="35"/>
  <c r="A279" i="35"/>
  <c r="A280" i="35"/>
  <c r="A281" i="35"/>
  <c r="A282" i="35"/>
  <c r="A283" i="35"/>
  <c r="A284" i="35"/>
  <c r="A285" i="35"/>
  <c r="A286" i="35"/>
  <c r="A287" i="35"/>
  <c r="A288" i="35"/>
  <c r="A289" i="35"/>
  <c r="A290" i="35"/>
  <c r="A291" i="35"/>
  <c r="A292" i="35"/>
  <c r="A293" i="35"/>
  <c r="A294" i="35"/>
  <c r="A295" i="35"/>
  <c r="A296" i="35"/>
  <c r="A297" i="35"/>
  <c r="A298" i="35"/>
  <c r="A299" i="35"/>
  <c r="A300" i="35"/>
  <c r="A301" i="35"/>
  <c r="A302" i="35"/>
  <c r="A303" i="35"/>
  <c r="A304" i="35"/>
  <c r="A305" i="35"/>
  <c r="A306" i="35"/>
  <c r="A307" i="35"/>
  <c r="A308" i="35"/>
  <c r="A309" i="35"/>
  <c r="A310" i="35"/>
  <c r="A311" i="35"/>
  <c r="A312" i="35"/>
  <c r="A313" i="35"/>
  <c r="A314" i="35"/>
  <c r="A315" i="35"/>
  <c r="A316" i="35"/>
  <c r="A317" i="35"/>
  <c r="A318" i="35"/>
  <c r="A319" i="35"/>
  <c r="A320" i="35"/>
  <c r="A321" i="35"/>
  <c r="A322" i="35"/>
  <c r="A323" i="35"/>
  <c r="A324" i="35"/>
  <c r="A325" i="35"/>
  <c r="A326" i="35"/>
  <c r="A327" i="35"/>
  <c r="A328" i="35"/>
  <c r="A329" i="35"/>
  <c r="A330" i="35"/>
  <c r="A331" i="35"/>
  <c r="A332" i="35"/>
  <c r="A333" i="35"/>
  <c r="A334" i="35"/>
  <c r="A335" i="35"/>
  <c r="A336" i="35"/>
  <c r="A337" i="35"/>
  <c r="A338" i="35"/>
  <c r="A339" i="35"/>
  <c r="A340" i="35"/>
  <c r="A341" i="35"/>
  <c r="A342" i="35"/>
  <c r="A343" i="35"/>
  <c r="A344" i="35"/>
  <c r="A345" i="35"/>
  <c r="A346" i="35"/>
  <c r="A347" i="35"/>
  <c r="A348" i="35"/>
  <c r="A349" i="35"/>
  <c r="A350" i="35"/>
  <c r="A351" i="35"/>
  <c r="A352" i="35"/>
  <c r="A353" i="35"/>
  <c r="A354" i="35"/>
  <c r="A355" i="35"/>
  <c r="A356" i="35"/>
  <c r="A357" i="35"/>
  <c r="A358" i="35"/>
  <c r="A359" i="35"/>
  <c r="A360" i="35"/>
  <c r="A361" i="35"/>
  <c r="A362" i="35"/>
  <c r="A363" i="35"/>
  <c r="A364" i="35"/>
  <c r="A365" i="35"/>
  <c r="A366" i="35"/>
  <c r="A367" i="35"/>
  <c r="A368" i="35"/>
  <c r="A369" i="35"/>
  <c r="A370" i="35"/>
  <c r="A371" i="35"/>
  <c r="A372" i="35"/>
  <c r="A373" i="35"/>
  <c r="A374" i="35"/>
  <c r="A375" i="35"/>
  <c r="A376" i="35"/>
  <c r="A377" i="35"/>
  <c r="A378" i="35"/>
  <c r="A379" i="35"/>
  <c r="A380" i="35"/>
  <c r="A381" i="35"/>
  <c r="A382" i="35"/>
  <c r="A383" i="35"/>
  <c r="A384" i="35"/>
  <c r="A385" i="35"/>
  <c r="A386" i="35"/>
  <c r="A387" i="35"/>
  <c r="A388" i="35"/>
  <c r="A389" i="35"/>
  <c r="A390" i="35"/>
  <c r="A391" i="35"/>
  <c r="A392" i="35"/>
  <c r="A393" i="35"/>
  <c r="A394" i="35"/>
  <c r="A395" i="35"/>
  <c r="A396" i="35"/>
  <c r="A397" i="35"/>
  <c r="A398" i="35"/>
  <c r="A399" i="35"/>
  <c r="A400" i="35"/>
  <c r="A401" i="35"/>
  <c r="A402" i="35"/>
  <c r="A403" i="35"/>
  <c r="A404" i="35"/>
  <c r="A405" i="35"/>
  <c r="A406" i="35"/>
  <c r="A407" i="35"/>
  <c r="A408" i="35"/>
  <c r="A409" i="35"/>
  <c r="A410" i="35"/>
  <c r="A411" i="35"/>
  <c r="A412" i="35"/>
  <c r="A413" i="35"/>
  <c r="A414" i="35"/>
  <c r="A415" i="35"/>
  <c r="A416" i="35"/>
  <c r="A417" i="35"/>
  <c r="A418" i="35"/>
  <c r="A419" i="35"/>
  <c r="A420" i="35"/>
  <c r="A421" i="35"/>
  <c r="A422" i="35"/>
  <c r="A423" i="35"/>
  <c r="A424" i="35"/>
  <c r="A425" i="35"/>
  <c r="A426" i="35"/>
  <c r="A427" i="35"/>
  <c r="A428" i="35"/>
  <c r="A429" i="35"/>
  <c r="A430" i="35"/>
  <c r="A431" i="35"/>
  <c r="A432" i="35"/>
  <c r="A433" i="35"/>
  <c r="A434" i="35"/>
  <c r="A435" i="35"/>
  <c r="A436" i="35"/>
  <c r="A437" i="35"/>
  <c r="A438" i="35"/>
  <c r="A439" i="35"/>
  <c r="A440" i="35"/>
  <c r="A441" i="35"/>
  <c r="A442" i="35"/>
  <c r="A443" i="35"/>
  <c r="A444" i="35"/>
  <c r="A445" i="35"/>
  <c r="A446" i="35"/>
  <c r="A447" i="35"/>
  <c r="A448" i="35"/>
  <c r="A449" i="35"/>
  <c r="A450" i="35"/>
  <c r="A451" i="35"/>
  <c r="A452" i="35"/>
  <c r="A453" i="35"/>
  <c r="A454" i="35"/>
  <c r="A455" i="35"/>
  <c r="A456" i="35"/>
  <c r="A457" i="35"/>
  <c r="A458" i="35"/>
  <c r="A459" i="35"/>
  <c r="A460" i="35"/>
  <c r="A461" i="35"/>
  <c r="A462" i="35"/>
  <c r="A463" i="35"/>
  <c r="A464" i="35"/>
  <c r="A465" i="35"/>
  <c r="A466" i="35"/>
  <c r="A467" i="35"/>
  <c r="A468" i="35"/>
  <c r="A469" i="35"/>
  <c r="A470" i="35"/>
  <c r="A471" i="35"/>
  <c r="A472" i="35"/>
  <c r="A473" i="35"/>
  <c r="A474" i="35"/>
  <c r="A475" i="35"/>
  <c r="A476" i="35"/>
  <c r="A477" i="35"/>
  <c r="A478" i="35"/>
  <c r="A479" i="35"/>
  <c r="A480" i="35"/>
  <c r="A481" i="35"/>
  <c r="A482" i="35"/>
  <c r="A483" i="35"/>
  <c r="A484" i="35"/>
  <c r="A485" i="35"/>
  <c r="A486" i="35"/>
  <c r="A487" i="35"/>
  <c r="A488" i="35"/>
  <c r="A489" i="35"/>
  <c r="A490" i="35"/>
  <c r="A491" i="35"/>
  <c r="A492" i="35"/>
  <c r="A493" i="35"/>
  <c r="A494" i="35"/>
  <c r="A495" i="35"/>
  <c r="A496" i="35"/>
  <c r="A497" i="35"/>
  <c r="A498" i="35"/>
  <c r="A499" i="35"/>
  <c r="A500" i="35"/>
  <c r="A501" i="35"/>
  <c r="A502" i="35"/>
  <c r="A503" i="35"/>
  <c r="A504" i="35"/>
  <c r="A505" i="35"/>
  <c r="A506" i="35"/>
  <c r="A507" i="35"/>
  <c r="A508" i="35"/>
  <c r="A509" i="35"/>
  <c r="A510" i="35"/>
  <c r="A511" i="35"/>
  <c r="A512" i="35"/>
  <c r="A513" i="35"/>
  <c r="A514" i="35"/>
  <c r="A515" i="35"/>
  <c r="A516" i="35"/>
  <c r="A517" i="35"/>
  <c r="A518" i="35"/>
  <c r="A519" i="35"/>
  <c r="A520" i="35"/>
  <c r="A521" i="35"/>
  <c r="A522" i="35"/>
  <c r="A523" i="35"/>
  <c r="A524" i="35"/>
  <c r="A525" i="35"/>
  <c r="A526" i="35"/>
  <c r="A527" i="35"/>
  <c r="A528" i="35"/>
  <c r="A529" i="35"/>
  <c r="A530" i="35"/>
  <c r="A531" i="35"/>
  <c r="A532" i="35"/>
  <c r="A533" i="35"/>
  <c r="A534" i="35"/>
  <c r="A535" i="35"/>
  <c r="A536" i="35"/>
  <c r="A537" i="35"/>
  <c r="A538" i="35"/>
  <c r="A539" i="35"/>
  <c r="A540" i="35"/>
  <c r="A541" i="35"/>
  <c r="A542" i="35"/>
  <c r="A543" i="35"/>
  <c r="A544" i="35"/>
  <c r="A545" i="35"/>
  <c r="A546" i="35"/>
  <c r="A547" i="35"/>
  <c r="A548" i="35"/>
  <c r="A549" i="35"/>
  <c r="A550" i="35"/>
  <c r="A551" i="35"/>
  <c r="A552" i="35"/>
  <c r="A553" i="35"/>
  <c r="A554" i="35"/>
  <c r="A555" i="35"/>
  <c r="A556" i="35"/>
  <c r="A10" i="35"/>
  <c r="A11" i="35"/>
  <c r="A12" i="35"/>
  <c r="C589" i="35"/>
  <c r="C588" i="35"/>
  <c r="C587" i="35"/>
  <c r="C586" i="35"/>
  <c r="C585" i="35"/>
  <c r="C584" i="35"/>
  <c r="C583" i="35"/>
  <c r="C582" i="35"/>
  <c r="C581" i="35"/>
  <c r="C580" i="35"/>
  <c r="C579" i="35"/>
  <c r="C578" i="35"/>
  <c r="C577" i="35"/>
  <c r="C576" i="35"/>
  <c r="C575" i="35"/>
  <c r="C574" i="35"/>
  <c r="C573" i="35"/>
  <c r="C572" i="35"/>
  <c r="C491" i="35"/>
  <c r="D431" i="35"/>
  <c r="D430" i="35"/>
  <c r="D429" i="35"/>
  <c r="D428" i="35"/>
  <c r="C567" i="35" l="1"/>
  <c r="E239" i="35"/>
  <c r="E240" i="35"/>
  <c r="D237" i="35"/>
  <c r="C238" i="35"/>
  <c r="C237" i="35" s="1"/>
  <c r="E236" i="35"/>
  <c r="D234" i="35"/>
  <c r="E234" i="35" s="1"/>
  <c r="C234" i="35"/>
  <c r="B236" i="35"/>
  <c r="B235" i="35"/>
  <c r="B241" i="35"/>
  <c r="B242" i="35"/>
  <c r="B243" i="35"/>
  <c r="B244" i="35"/>
  <c r="B245" i="35"/>
  <c r="E237" i="35" l="1"/>
  <c r="D224" i="35"/>
  <c r="E178" i="35"/>
  <c r="E168" i="35"/>
  <c r="E167" i="35"/>
  <c r="D319" i="35"/>
  <c r="E323" i="35"/>
  <c r="E306" i="35"/>
  <c r="E274" i="35"/>
  <c r="E496" i="35"/>
  <c r="D229" i="35" l="1"/>
  <c r="C554" i="35"/>
  <c r="D488" i="35"/>
  <c r="D493" i="35"/>
  <c r="D458" i="35"/>
  <c r="D409" i="35"/>
  <c r="D432" i="35"/>
  <c r="D371" i="35"/>
  <c r="D370" i="35"/>
  <c r="D373" i="35"/>
  <c r="D372" i="35"/>
  <c r="D397" i="35"/>
  <c r="D369" i="35" l="1"/>
  <c r="D339" i="35"/>
  <c r="D334" i="35"/>
  <c r="C334" i="35"/>
  <c r="D324" i="35"/>
  <c r="D302" i="35"/>
  <c r="D271" i="35"/>
  <c r="C228" i="35" l="1"/>
  <c r="B228" i="35"/>
  <c r="B227" i="35"/>
  <c r="B226" i="35"/>
  <c r="C225" i="35"/>
  <c r="C224" i="35" s="1"/>
  <c r="B225" i="35"/>
  <c r="D219" i="35"/>
  <c r="B223" i="35"/>
  <c r="B222" i="35"/>
  <c r="B221" i="35"/>
  <c r="C220" i="35"/>
  <c r="C219" i="35" s="1"/>
  <c r="B220" i="35"/>
  <c r="D214" i="35"/>
  <c r="B218" i="35"/>
  <c r="B217" i="35"/>
  <c r="B216" i="35"/>
  <c r="C215" i="35"/>
  <c r="C214" i="35" s="1"/>
  <c r="B215" i="35"/>
  <c r="D209" i="35"/>
  <c r="B213" i="35"/>
  <c r="B212" i="35"/>
  <c r="B211" i="35"/>
  <c r="C210" i="35"/>
  <c r="C209" i="35" s="1"/>
  <c r="B210" i="35"/>
  <c r="B208" i="35"/>
  <c r="B207" i="35"/>
  <c r="B206" i="35"/>
  <c r="C205" i="35"/>
  <c r="B205" i="35"/>
  <c r="D204" i="35"/>
  <c r="D556" i="35"/>
  <c r="E563" i="35"/>
  <c r="D174" i="35"/>
  <c r="D164" i="35"/>
  <c r="D154" i="35"/>
  <c r="D101" i="35"/>
  <c r="D78" i="35"/>
  <c r="D68" i="35"/>
  <c r="D245" i="35"/>
  <c r="C343" i="35"/>
  <c r="C341" i="35"/>
  <c r="C340" i="35"/>
  <c r="I204" i="37"/>
  <c r="I111" i="37"/>
  <c r="I137" i="37"/>
  <c r="I264" i="37"/>
  <c r="I498" i="37"/>
  <c r="C557" i="35"/>
  <c r="C558" i="35"/>
  <c r="C553" i="35" s="1"/>
  <c r="C560" i="35"/>
  <c r="C562" i="35"/>
  <c r="C565" i="35"/>
  <c r="C532" i="35"/>
  <c r="C494" i="35"/>
  <c r="C495" i="35"/>
  <c r="C490" i="35" s="1"/>
  <c r="C497" i="35"/>
  <c r="C492" i="35" s="1"/>
  <c r="C433" i="35"/>
  <c r="C438" i="35"/>
  <c r="C439" i="35"/>
  <c r="C440" i="35"/>
  <c r="C441" i="35"/>
  <c r="C442" i="35"/>
  <c r="C443" i="35"/>
  <c r="C444" i="35"/>
  <c r="C446" i="35"/>
  <c r="C447" i="35"/>
  <c r="C448" i="35"/>
  <c r="C450" i="35"/>
  <c r="C451" i="35"/>
  <c r="C452" i="35"/>
  <c r="C454" i="35"/>
  <c r="C455" i="35"/>
  <c r="C456" i="35"/>
  <c r="C457" i="35"/>
  <c r="C459" i="35"/>
  <c r="C460" i="35"/>
  <c r="C462" i="35"/>
  <c r="C414" i="35"/>
  <c r="C416" i="35"/>
  <c r="C417" i="35"/>
  <c r="C418" i="35"/>
  <c r="C419" i="35"/>
  <c r="C420" i="35"/>
  <c r="C422" i="35"/>
  <c r="C423" i="35"/>
  <c r="C424" i="35"/>
  <c r="C425" i="35"/>
  <c r="C393" i="35"/>
  <c r="C394" i="35"/>
  <c r="C396" i="35"/>
  <c r="C398" i="35"/>
  <c r="C399" i="35"/>
  <c r="C401" i="35"/>
  <c r="C376" i="35"/>
  <c r="C378" i="35"/>
  <c r="C380" i="35"/>
  <c r="C381" i="35"/>
  <c r="C382" i="35"/>
  <c r="C384" i="35"/>
  <c r="C385" i="35"/>
  <c r="C386" i="35"/>
  <c r="C388" i="35"/>
  <c r="C389" i="35"/>
  <c r="C391" i="35"/>
  <c r="C375" i="35"/>
  <c r="C356" i="35"/>
  <c r="C358" i="35"/>
  <c r="C359" i="35"/>
  <c r="C360" i="35"/>
  <c r="C361" i="35"/>
  <c r="C362" i="35"/>
  <c r="C364" i="35"/>
  <c r="C365" i="35"/>
  <c r="C366" i="35"/>
  <c r="C367" i="35"/>
  <c r="C247" i="35"/>
  <c r="C253" i="35"/>
  <c r="C255" i="35"/>
  <c r="C256" i="35"/>
  <c r="C257" i="35"/>
  <c r="C258" i="35"/>
  <c r="C259" i="35"/>
  <c r="C261" i="35"/>
  <c r="C262" i="35"/>
  <c r="C263" i="35"/>
  <c r="C264" i="35"/>
  <c r="C265" i="35"/>
  <c r="C272" i="35"/>
  <c r="C273" i="35"/>
  <c r="C277" i="35"/>
  <c r="C278" i="35"/>
  <c r="C279" i="35"/>
  <c r="C280" i="35"/>
  <c r="C282" i="35"/>
  <c r="C283" i="35"/>
  <c r="C287" i="35"/>
  <c r="C288" i="35"/>
  <c r="C289" i="35"/>
  <c r="C291" i="35"/>
  <c r="C292" i="35"/>
  <c r="C293" i="35"/>
  <c r="C294" i="35"/>
  <c r="C295" i="35"/>
  <c r="C296" i="35"/>
  <c r="C297" i="35"/>
  <c r="C299" i="35"/>
  <c r="C300" i="35"/>
  <c r="C301" i="35"/>
  <c r="C303" i="35"/>
  <c r="C305" i="35"/>
  <c r="C308" i="35"/>
  <c r="C309" i="35"/>
  <c r="C310" i="35"/>
  <c r="C312" i="35"/>
  <c r="C313" i="35"/>
  <c r="C314" i="35"/>
  <c r="C316" i="35"/>
  <c r="C317" i="35"/>
  <c r="C318" i="35"/>
  <c r="C320" i="35"/>
  <c r="C321" i="35"/>
  <c r="C322" i="35"/>
  <c r="C325" i="35"/>
  <c r="C326" i="35"/>
  <c r="C330" i="35"/>
  <c r="C331" i="35"/>
  <c r="C332" i="35"/>
  <c r="C333" i="35"/>
  <c r="C270" i="35" s="1"/>
  <c r="C35" i="35"/>
  <c r="C42" i="35"/>
  <c r="C43" i="35"/>
  <c r="C45" i="35"/>
  <c r="C47" i="35"/>
  <c r="C48" i="35"/>
  <c r="C49" i="35"/>
  <c r="C50" i="35"/>
  <c r="C51" i="35"/>
  <c r="C53" i="35"/>
  <c r="C54" i="35"/>
  <c r="C55" i="35"/>
  <c r="C56" i="35"/>
  <c r="C69" i="35"/>
  <c r="C72" i="35"/>
  <c r="C74" i="35"/>
  <c r="C75" i="35"/>
  <c r="C76" i="35"/>
  <c r="C77" i="35"/>
  <c r="C79" i="35"/>
  <c r="E82" i="35"/>
  <c r="C84" i="35"/>
  <c r="C85" i="35"/>
  <c r="C86" i="35"/>
  <c r="C88" i="35"/>
  <c r="C89" i="35"/>
  <c r="C90" i="35"/>
  <c r="C92" i="35"/>
  <c r="C93" i="35"/>
  <c r="C94" i="35"/>
  <c r="C95" i="35"/>
  <c r="C97" i="35"/>
  <c r="C98" i="35"/>
  <c r="C100" i="35"/>
  <c r="C102" i="35"/>
  <c r="C103" i="35"/>
  <c r="C105" i="35"/>
  <c r="C107" i="35"/>
  <c r="C108" i="35"/>
  <c r="C109" i="35"/>
  <c r="C110" i="35"/>
  <c r="C112" i="35"/>
  <c r="C113" i="35"/>
  <c r="E115" i="35"/>
  <c r="C117" i="35"/>
  <c r="C118" i="35"/>
  <c r="C119" i="35"/>
  <c r="C121" i="35"/>
  <c r="C122" i="35"/>
  <c r="C123" i="35"/>
  <c r="C125" i="35"/>
  <c r="C126" i="35"/>
  <c r="C127" i="35"/>
  <c r="C129" i="35"/>
  <c r="C130" i="35"/>
  <c r="C131" i="35"/>
  <c r="C133" i="35"/>
  <c r="C134" i="35"/>
  <c r="C135" i="35"/>
  <c r="C137" i="35"/>
  <c r="C138" i="35"/>
  <c r="C139" i="35"/>
  <c r="C141" i="35"/>
  <c r="C142" i="35"/>
  <c r="C143" i="35"/>
  <c r="C145" i="35"/>
  <c r="C146" i="35"/>
  <c r="C147" i="35"/>
  <c r="C148" i="35"/>
  <c r="C150" i="35"/>
  <c r="C151" i="35"/>
  <c r="C152" i="35"/>
  <c r="C153" i="35"/>
  <c r="C155" i="35"/>
  <c r="C158" i="35"/>
  <c r="C160" i="35"/>
  <c r="C161" i="35"/>
  <c r="C162" i="35"/>
  <c r="C163" i="35"/>
  <c r="C165" i="35"/>
  <c r="C166" i="35"/>
  <c r="C170" i="35"/>
  <c r="C171" i="35"/>
  <c r="C172" i="35"/>
  <c r="C173" i="35"/>
  <c r="C175" i="35"/>
  <c r="C176" i="35"/>
  <c r="C180" i="35"/>
  <c r="C181" i="35"/>
  <c r="C182" i="35"/>
  <c r="C183" i="35"/>
  <c r="C185" i="35"/>
  <c r="C186" i="35"/>
  <c r="C189" i="35"/>
  <c r="C190" i="35"/>
  <c r="C191" i="35"/>
  <c r="C192" i="35"/>
  <c r="C193" i="35"/>
  <c r="C195" i="35"/>
  <c r="C194" i="35" s="1"/>
  <c r="C200" i="35"/>
  <c r="C201" i="35"/>
  <c r="C202" i="35"/>
  <c r="C203" i="35"/>
  <c r="C230" i="35"/>
  <c r="C233" i="35"/>
  <c r="H39" i="37"/>
  <c r="H33" i="37" s="1"/>
  <c r="H42" i="37"/>
  <c r="H36" i="37" s="1"/>
  <c r="H45" i="37"/>
  <c r="H40" i="37" s="1"/>
  <c r="H34" i="37" s="1"/>
  <c r="H46" i="37"/>
  <c r="H41" i="37" s="1"/>
  <c r="H35" i="37" s="1"/>
  <c r="H48" i="37"/>
  <c r="H54" i="37"/>
  <c r="H61" i="37"/>
  <c r="H65" i="37"/>
  <c r="H68" i="37"/>
  <c r="H70" i="37"/>
  <c r="H78" i="37"/>
  <c r="H79" i="37"/>
  <c r="H80" i="37"/>
  <c r="H84" i="37"/>
  <c r="H88" i="37"/>
  <c r="H96" i="37"/>
  <c r="H93" i="37" s="1"/>
  <c r="H101" i="37"/>
  <c r="H98" i="37" s="1"/>
  <c r="H103" i="37"/>
  <c r="H110" i="37"/>
  <c r="H62" i="37" s="1"/>
  <c r="H111" i="37"/>
  <c r="H112" i="37"/>
  <c r="H113" i="37"/>
  <c r="H117" i="37"/>
  <c r="H121" i="37"/>
  <c r="H125" i="37"/>
  <c r="H129" i="37"/>
  <c r="H133" i="37"/>
  <c r="H137" i="37"/>
  <c r="H141" i="37"/>
  <c r="H146" i="37"/>
  <c r="H154" i="37"/>
  <c r="H151" i="37" s="1"/>
  <c r="H156" i="37"/>
  <c r="H164" i="37"/>
  <c r="H165" i="37"/>
  <c r="H166" i="37"/>
  <c r="H174" i="37"/>
  <c r="H175" i="37"/>
  <c r="H176" i="37"/>
  <c r="H184" i="37"/>
  <c r="H181" i="37" s="1"/>
  <c r="H185" i="37"/>
  <c r="H186" i="37"/>
  <c r="H194" i="37"/>
  <c r="H191" i="37" s="1"/>
  <c r="H196" i="37"/>
  <c r="H203" i="37"/>
  <c r="H204" i="37"/>
  <c r="H201" i="37" s="1"/>
  <c r="H206" i="37"/>
  <c r="H219" i="37"/>
  <c r="H220" i="37"/>
  <c r="H221" i="37"/>
  <c r="H222" i="37"/>
  <c r="H224" i="37"/>
  <c r="H230" i="37"/>
  <c r="H237" i="37"/>
  <c r="H244" i="37"/>
  <c r="H245" i="37"/>
  <c r="H241" i="37" s="1"/>
  <c r="H246" i="37"/>
  <c r="H254" i="37"/>
  <c r="H255" i="37"/>
  <c r="H251" i="37" s="1"/>
  <c r="H256" i="37"/>
  <c r="H260" i="37"/>
  <c r="H264" i="37"/>
  <c r="H268" i="37"/>
  <c r="H274" i="37"/>
  <c r="H238" i="37" s="1"/>
  <c r="H214" i="37" s="1"/>
  <c r="H275" i="37"/>
  <c r="H276" i="37"/>
  <c r="H277" i="37"/>
  <c r="H281" i="37"/>
  <c r="H289" i="37"/>
  <c r="H294" i="37"/>
  <c r="H299" i="37"/>
  <c r="H304" i="37"/>
  <c r="H317" i="37"/>
  <c r="H318" i="37"/>
  <c r="H319" i="37"/>
  <c r="H320" i="37"/>
  <c r="H322" i="37"/>
  <c r="H328" i="37"/>
  <c r="H335" i="37"/>
  <c r="H311" i="37" s="1"/>
  <c r="H338" i="37"/>
  <c r="H341" i="37"/>
  <c r="H336" i="37" s="1"/>
  <c r="H342" i="37"/>
  <c r="H344" i="37"/>
  <c r="H348" i="37"/>
  <c r="H352" i="37"/>
  <c r="H357" i="37"/>
  <c r="H360" i="37"/>
  <c r="H362" i="37"/>
  <c r="H365" i="37"/>
  <c r="H367" i="37"/>
  <c r="H380" i="37"/>
  <c r="H381" i="37"/>
  <c r="H382" i="37"/>
  <c r="H383" i="37"/>
  <c r="H385" i="37"/>
  <c r="H391" i="37"/>
  <c r="H398" i="37"/>
  <c r="H404" i="37"/>
  <c r="H399" i="37" s="1"/>
  <c r="H405" i="37"/>
  <c r="H400" i="37" s="1"/>
  <c r="H406" i="37"/>
  <c r="H401" i="37" s="1"/>
  <c r="H407" i="37"/>
  <c r="H415" i="37"/>
  <c r="H419" i="37"/>
  <c r="H423" i="37"/>
  <c r="H431" i="37"/>
  <c r="H428" i="37" s="1"/>
  <c r="H433" i="37"/>
  <c r="H446" i="37"/>
  <c r="H440" i="37" s="1"/>
  <c r="H447" i="37"/>
  <c r="H448" i="37"/>
  <c r="H449" i="37"/>
  <c r="H451" i="37"/>
  <c r="H457" i="37"/>
  <c r="H491" i="37"/>
  <c r="H492" i="37"/>
  <c r="H466" i="37" s="1"/>
  <c r="H493" i="37"/>
  <c r="H494" i="37"/>
  <c r="H498" i="37"/>
  <c r="H502" i="37"/>
  <c r="H506" i="37"/>
  <c r="H513" i="37"/>
  <c r="H511" i="37" s="1"/>
  <c r="H514" i="37"/>
  <c r="H515" i="37"/>
  <c r="H516" i="37"/>
  <c r="H520" i="37"/>
  <c r="H524" i="37"/>
  <c r="H536" i="37"/>
  <c r="H530" i="37" s="1"/>
  <c r="H537" i="37"/>
  <c r="H538" i="37"/>
  <c r="H539" i="37"/>
  <c r="H541" i="37"/>
  <c r="H547" i="37"/>
  <c r="H554" i="37"/>
  <c r="H555" i="37"/>
  <c r="H557" i="37"/>
  <c r="H561" i="37"/>
  <c r="H566" i="37"/>
  <c r="H563" i="37" s="1"/>
  <c r="C66" i="35" l="1"/>
  <c r="C65" i="35"/>
  <c r="C271" i="35"/>
  <c r="C373" i="35"/>
  <c r="C458" i="35"/>
  <c r="E219" i="35"/>
  <c r="C555" i="35"/>
  <c r="C229" i="35"/>
  <c r="C493" i="35"/>
  <c r="E493" i="35" s="1"/>
  <c r="C489" i="35"/>
  <c r="C488" i="35" s="1"/>
  <c r="C556" i="35"/>
  <c r="C552" i="35"/>
  <c r="C561" i="35"/>
  <c r="C184" i="35"/>
  <c r="C68" i="35"/>
  <c r="C319" i="35"/>
  <c r="E319" i="35" s="1"/>
  <c r="C339" i="35"/>
  <c r="C397" i="35"/>
  <c r="C374" i="35"/>
  <c r="C154" i="35"/>
  <c r="C281" i="35"/>
  <c r="C164" i="35"/>
  <c r="C174" i="35"/>
  <c r="C101" i="35"/>
  <c r="C111" i="35"/>
  <c r="C67" i="35"/>
  <c r="C41" i="35"/>
  <c r="H442" i="37"/>
  <c r="H171" i="37"/>
  <c r="H314" i="37"/>
  <c r="H64" i="37"/>
  <c r="H30" i="37" s="1"/>
  <c r="H467" i="37"/>
  <c r="H75" i="37"/>
  <c r="H337" i="37"/>
  <c r="H313" i="37" s="1"/>
  <c r="H316" i="37"/>
  <c r="H239" i="37"/>
  <c r="H215" i="37" s="1"/>
  <c r="H161" i="37"/>
  <c r="H533" i="37"/>
  <c r="H489" i="37"/>
  <c r="H218" i="37"/>
  <c r="H556" i="37"/>
  <c r="H535" i="37"/>
  <c r="H21" i="37"/>
  <c r="H17" i="37"/>
  <c r="H28" i="37"/>
  <c r="H16" i="37"/>
  <c r="H27" i="37"/>
  <c r="H32" i="37"/>
  <c r="H18" i="37"/>
  <c r="H19" i="37"/>
  <c r="H553" i="37"/>
  <c r="H376" i="37"/>
  <c r="H532" i="37"/>
  <c r="H443" i="37"/>
  <c r="H397" i="37"/>
  <c r="H377" i="37"/>
  <c r="H375" i="37"/>
  <c r="H531" i="37"/>
  <c r="H465" i="37"/>
  <c r="H463" i="37" s="1"/>
  <c r="H445" i="37"/>
  <c r="H402" i="37"/>
  <c r="H379" i="37"/>
  <c r="H334" i="37"/>
  <c r="H312" i="37"/>
  <c r="H310" i="37" s="1"/>
  <c r="H272" i="37"/>
  <c r="H240" i="37"/>
  <c r="H216" i="37" s="1"/>
  <c r="H212" i="37" s="1"/>
  <c r="H108" i="37"/>
  <c r="H63" i="37"/>
  <c r="H23" i="37" s="1"/>
  <c r="H43" i="37"/>
  <c r="H558" i="37"/>
  <c r="H339" i="37"/>
  <c r="H38" i="37"/>
  <c r="C551" i="35" l="1"/>
  <c r="C27" i="35"/>
  <c r="H24" i="37"/>
  <c r="H60" i="37"/>
  <c r="H29" i="37"/>
  <c r="H11" i="37"/>
  <c r="H15" i="37"/>
  <c r="H441" i="37"/>
  <c r="H439" i="37" s="1"/>
  <c r="H22" i="37"/>
  <c r="H20" i="37" s="1"/>
  <c r="H529" i="37"/>
  <c r="H236" i="37"/>
  <c r="H373" i="37"/>
  <c r="H14" i="37"/>
  <c r="H13" i="37"/>
  <c r="H26" i="37"/>
  <c r="H12" i="37" l="1"/>
  <c r="H10" i="37"/>
  <c r="M206" i="37" l="1"/>
  <c r="L206" i="37"/>
  <c r="K206" i="37"/>
  <c r="J206" i="37"/>
  <c r="I206" i="37"/>
  <c r="G206" i="37"/>
  <c r="F206" i="37"/>
  <c r="E206" i="37"/>
  <c r="D206" i="37"/>
  <c r="M304" i="37"/>
  <c r="L304" i="37"/>
  <c r="K304" i="37"/>
  <c r="J304" i="37"/>
  <c r="I304" i="37"/>
  <c r="G304" i="37"/>
  <c r="F304" i="37"/>
  <c r="E304" i="37"/>
  <c r="D304" i="37"/>
  <c r="D561" i="35"/>
  <c r="D199" i="35"/>
  <c r="D194" i="35"/>
  <c r="D184" i="35"/>
  <c r="D159" i="35"/>
  <c r="D96" i="35"/>
  <c r="D111" i="35"/>
  <c r="D15" i="35"/>
  <c r="D34" i="35"/>
  <c r="D33" i="35"/>
  <c r="D16" i="35" s="1"/>
  <c r="D43" i="35"/>
  <c r="D31" i="35"/>
  <c r="D14" i="35" s="1"/>
  <c r="D64" i="35"/>
  <c r="D270" i="35"/>
  <c r="D246" i="35" s="1"/>
  <c r="D268" i="35"/>
  <c r="D244" i="35" s="1"/>
  <c r="D267" i="35"/>
  <c r="D243" i="35" s="1"/>
  <c r="D348" i="35"/>
  <c r="D347" i="35"/>
  <c r="D407" i="35"/>
  <c r="D406" i="35"/>
  <c r="D405" i="35"/>
  <c r="D464" i="35"/>
  <c r="D470" i="35"/>
  <c r="D555" i="35"/>
  <c r="D532" i="35" s="1"/>
  <c r="D554" i="35"/>
  <c r="D553" i="35"/>
  <c r="D552" i="35"/>
  <c r="D528" i="35" s="1"/>
  <c r="D281" i="35"/>
  <c r="D374" i="35"/>
  <c r="D387" i="35"/>
  <c r="C520" i="35"/>
  <c r="E520" i="35" s="1"/>
  <c r="C524" i="35"/>
  <c r="E524" i="35" s="1"/>
  <c r="J194" i="37"/>
  <c r="J400" i="37"/>
  <c r="C565" i="37"/>
  <c r="C564" i="37"/>
  <c r="C562" i="37"/>
  <c r="C560" i="37"/>
  <c r="C559" i="37"/>
  <c r="C551" i="37"/>
  <c r="C550" i="37"/>
  <c r="C549" i="37"/>
  <c r="C548" i="37"/>
  <c r="C545" i="37"/>
  <c r="C544" i="37"/>
  <c r="C543" i="37"/>
  <c r="C542" i="37"/>
  <c r="C527" i="37"/>
  <c r="C526" i="37"/>
  <c r="C525" i="37"/>
  <c r="C523" i="37"/>
  <c r="C522" i="37"/>
  <c r="C521" i="37"/>
  <c r="C519" i="37"/>
  <c r="C518" i="37"/>
  <c r="C517" i="37"/>
  <c r="C512" i="37"/>
  <c r="C510" i="37"/>
  <c r="C509" i="37"/>
  <c r="C508" i="37"/>
  <c r="C507" i="37"/>
  <c r="C505" i="37"/>
  <c r="C504" i="37"/>
  <c r="C503" i="37"/>
  <c r="C501" i="37"/>
  <c r="C499" i="37"/>
  <c r="C497" i="37"/>
  <c r="C496" i="37"/>
  <c r="C495" i="37"/>
  <c r="C490" i="37"/>
  <c r="C488" i="37"/>
  <c r="C487" i="37"/>
  <c r="C486" i="37"/>
  <c r="C484" i="37"/>
  <c r="C483" i="37"/>
  <c r="C482" i="37"/>
  <c r="C480" i="37"/>
  <c r="C479" i="37"/>
  <c r="C478" i="37"/>
  <c r="C476" i="37"/>
  <c r="C475" i="37"/>
  <c r="C474" i="37"/>
  <c r="C472" i="37"/>
  <c r="C471" i="37"/>
  <c r="C470" i="37"/>
  <c r="C469" i="37"/>
  <c r="C464" i="37"/>
  <c r="C461" i="37"/>
  <c r="C460" i="37"/>
  <c r="C459" i="37"/>
  <c r="C458" i="37"/>
  <c r="C455" i="37"/>
  <c r="C454" i="37"/>
  <c r="C453" i="37"/>
  <c r="C452" i="37"/>
  <c r="C437" i="37"/>
  <c r="C436" i="37"/>
  <c r="C435" i="37"/>
  <c r="C434" i="37"/>
  <c r="C432" i="37"/>
  <c r="C430" i="37"/>
  <c r="C429" i="37"/>
  <c r="C427" i="37"/>
  <c r="C426" i="37"/>
  <c r="C425" i="37"/>
  <c r="C424" i="37"/>
  <c r="C422" i="37"/>
  <c r="C421" i="37"/>
  <c r="C420" i="37"/>
  <c r="C418" i="37"/>
  <c r="C417" i="37"/>
  <c r="C416" i="37"/>
  <c r="C414" i="37"/>
  <c r="C413" i="37"/>
  <c r="C412" i="37"/>
  <c r="C411" i="37"/>
  <c r="C410" i="37"/>
  <c r="C409" i="37"/>
  <c r="C408" i="37"/>
  <c r="C403" i="37"/>
  <c r="C395" i="37"/>
  <c r="C394" i="37"/>
  <c r="C393" i="37"/>
  <c r="C392" i="37"/>
  <c r="C389" i="37"/>
  <c r="C388" i="37"/>
  <c r="C387" i="37"/>
  <c r="C386" i="37"/>
  <c r="C374" i="37"/>
  <c r="C371" i="37"/>
  <c r="C369" i="37"/>
  <c r="C368" i="37"/>
  <c r="C366" i="37"/>
  <c r="C364" i="37"/>
  <c r="C363" i="37"/>
  <c r="C361" i="37"/>
  <c r="C359" i="37"/>
  <c r="C358" i="37"/>
  <c r="C356" i="37"/>
  <c r="C354" i="37"/>
  <c r="C353" i="37"/>
  <c r="C351" i="37"/>
  <c r="C350" i="37"/>
  <c r="C349" i="37"/>
  <c r="C347" i="37"/>
  <c r="C346" i="37"/>
  <c r="C345" i="37"/>
  <c r="C343" i="37"/>
  <c r="C341" i="37"/>
  <c r="C340" i="37"/>
  <c r="C332" i="37"/>
  <c r="C331" i="37"/>
  <c r="C330" i="37"/>
  <c r="C329" i="37"/>
  <c r="C326" i="37"/>
  <c r="C325" i="37"/>
  <c r="C324" i="37"/>
  <c r="C323" i="37"/>
  <c r="C303" i="37"/>
  <c r="C302" i="37"/>
  <c r="C301" i="37"/>
  <c r="C300" i="37"/>
  <c r="C296" i="37"/>
  <c r="C295" i="37"/>
  <c r="C293" i="37"/>
  <c r="C291" i="37"/>
  <c r="C290" i="37"/>
  <c r="C287" i="37"/>
  <c r="C286" i="37"/>
  <c r="C284" i="37"/>
  <c r="C283" i="37"/>
  <c r="C282" i="37"/>
  <c r="C280" i="37"/>
  <c r="C278" i="37"/>
  <c r="C273" i="37"/>
  <c r="C271" i="37"/>
  <c r="C270" i="37"/>
  <c r="C269" i="37"/>
  <c r="C267" i="37"/>
  <c r="C266" i="37"/>
  <c r="C265" i="37"/>
  <c r="C263" i="37"/>
  <c r="C262" i="37"/>
  <c r="C261" i="37"/>
  <c r="C259" i="37"/>
  <c r="C258" i="37"/>
  <c r="C257" i="37"/>
  <c r="C253" i="37"/>
  <c r="C252" i="37"/>
  <c r="C250" i="37"/>
  <c r="C248" i="37"/>
  <c r="C247" i="37"/>
  <c r="C243" i="37"/>
  <c r="C242" i="37"/>
  <c r="C234" i="37"/>
  <c r="C233" i="37"/>
  <c r="C232" i="37"/>
  <c r="C231" i="37"/>
  <c r="C228" i="37"/>
  <c r="C227" i="37"/>
  <c r="C226" i="37"/>
  <c r="C225" i="37"/>
  <c r="C213" i="37"/>
  <c r="C205" i="37"/>
  <c r="C204" i="37"/>
  <c r="C203" i="37"/>
  <c r="C202" i="37"/>
  <c r="C200" i="37"/>
  <c r="C198" i="37"/>
  <c r="C197" i="37"/>
  <c r="C195" i="37"/>
  <c r="C193" i="37"/>
  <c r="C192" i="37"/>
  <c r="C190" i="37"/>
  <c r="C188" i="37"/>
  <c r="C187" i="37"/>
  <c r="C183" i="37"/>
  <c r="C182" i="37"/>
  <c r="C180" i="37"/>
  <c r="C178" i="37"/>
  <c r="C177" i="37"/>
  <c r="C173" i="37"/>
  <c r="C172" i="37"/>
  <c r="C170" i="37"/>
  <c r="C168" i="37"/>
  <c r="C167" i="37"/>
  <c r="C163" i="37"/>
  <c r="C162" i="37"/>
  <c r="C160" i="37"/>
  <c r="C159" i="37"/>
  <c r="C158" i="37"/>
  <c r="C157" i="37"/>
  <c r="C155" i="37"/>
  <c r="C153" i="37"/>
  <c r="C152" i="37"/>
  <c r="C150" i="37"/>
  <c r="C148" i="37"/>
  <c r="C147" i="37"/>
  <c r="C145" i="37"/>
  <c r="C143" i="37"/>
  <c r="C142" i="37"/>
  <c r="C140" i="37"/>
  <c r="C139" i="37"/>
  <c r="C138" i="37"/>
  <c r="C128" i="37"/>
  <c r="C126" i="37"/>
  <c r="C136" i="37"/>
  <c r="C135" i="37"/>
  <c r="C134" i="37"/>
  <c r="C132" i="37"/>
  <c r="C131" i="37"/>
  <c r="C130" i="37"/>
  <c r="C124" i="37"/>
  <c r="C122" i="37"/>
  <c r="C120" i="37"/>
  <c r="C119" i="37"/>
  <c r="C118" i="37"/>
  <c r="C116" i="37"/>
  <c r="C115" i="37"/>
  <c r="C114" i="37"/>
  <c r="C109" i="37"/>
  <c r="C107" i="37"/>
  <c r="C106" i="37"/>
  <c r="C105" i="37"/>
  <c r="C104" i="37"/>
  <c r="C102" i="37"/>
  <c r="C100" i="37"/>
  <c r="C99" i="37"/>
  <c r="C97" i="37"/>
  <c r="C95" i="37"/>
  <c r="C94" i="37"/>
  <c r="C92" i="37"/>
  <c r="C91" i="37"/>
  <c r="C90" i="37"/>
  <c r="C89" i="37"/>
  <c r="C87" i="37"/>
  <c r="C86" i="37"/>
  <c r="C85" i="37"/>
  <c r="C83" i="37"/>
  <c r="C82" i="37"/>
  <c r="C81" i="37"/>
  <c r="C76" i="37"/>
  <c r="C74" i="37"/>
  <c r="C72" i="37"/>
  <c r="C71" i="37"/>
  <c r="C69" i="37"/>
  <c r="C67" i="37"/>
  <c r="C66" i="37"/>
  <c r="C58" i="37"/>
  <c r="C57" i="37"/>
  <c r="C56" i="37"/>
  <c r="C55" i="37"/>
  <c r="C52" i="37"/>
  <c r="C50" i="37"/>
  <c r="C49" i="37"/>
  <c r="C47" i="37"/>
  <c r="C44" i="37"/>
  <c r="M42" i="37"/>
  <c r="M36" i="37" s="1"/>
  <c r="M41" i="37"/>
  <c r="M35" i="37" s="1"/>
  <c r="M40" i="37"/>
  <c r="M34" i="37" s="1"/>
  <c r="M39" i="37"/>
  <c r="M33" i="37" s="1"/>
  <c r="L42" i="37"/>
  <c r="L36" i="37" s="1"/>
  <c r="L41" i="37"/>
  <c r="L35" i="37" s="1"/>
  <c r="L40" i="37"/>
  <c r="L34" i="37" s="1"/>
  <c r="L39" i="37"/>
  <c r="L33" i="37" s="1"/>
  <c r="K42" i="37"/>
  <c r="K36" i="37" s="1"/>
  <c r="K41" i="37"/>
  <c r="K35" i="37" s="1"/>
  <c r="K40" i="37"/>
  <c r="K34" i="37" s="1"/>
  <c r="K39" i="37"/>
  <c r="K33" i="37" s="1"/>
  <c r="J42" i="37"/>
  <c r="J36" i="37" s="1"/>
  <c r="J41" i="37"/>
  <c r="J35" i="37" s="1"/>
  <c r="J40" i="37"/>
  <c r="J34" i="37" s="1"/>
  <c r="J39" i="37"/>
  <c r="J33" i="37" s="1"/>
  <c r="M43" i="37"/>
  <c r="L43" i="37"/>
  <c r="K43" i="37"/>
  <c r="J43" i="37"/>
  <c r="M48" i="37"/>
  <c r="L48" i="37"/>
  <c r="K48" i="37"/>
  <c r="J48" i="37"/>
  <c r="M54" i="37"/>
  <c r="L54" i="37"/>
  <c r="K54" i="37"/>
  <c r="J54" i="37"/>
  <c r="M68" i="37"/>
  <c r="M65" i="37" s="1"/>
  <c r="L68" i="37"/>
  <c r="M194" i="37"/>
  <c r="M191" i="37" s="1"/>
  <c r="M186" i="37"/>
  <c r="M185" i="37"/>
  <c r="M184" i="37"/>
  <c r="M181" i="37"/>
  <c r="M176" i="37"/>
  <c r="M175" i="37"/>
  <c r="M174" i="37"/>
  <c r="M171" i="37"/>
  <c r="M166" i="37"/>
  <c r="M164" i="37"/>
  <c r="M161" i="37" s="1"/>
  <c r="M156" i="37"/>
  <c r="M154" i="37"/>
  <c r="M151" i="37" s="1"/>
  <c r="M146" i="37"/>
  <c r="M141" i="37"/>
  <c r="M137" i="37"/>
  <c r="M133" i="37"/>
  <c r="M129" i="37"/>
  <c r="M125" i="37"/>
  <c r="M121" i="37"/>
  <c r="M117" i="37"/>
  <c r="M113" i="37"/>
  <c r="M111" i="37"/>
  <c r="M110" i="37"/>
  <c r="M103" i="37"/>
  <c r="M101" i="37"/>
  <c r="M98" i="37"/>
  <c r="M96" i="37"/>
  <c r="M93" i="37"/>
  <c r="M88" i="37"/>
  <c r="M84" i="37"/>
  <c r="M80" i="37"/>
  <c r="M79" i="37"/>
  <c r="M78" i="37"/>
  <c r="M77" i="37"/>
  <c r="M75" i="37" s="1"/>
  <c r="M70" i="37"/>
  <c r="M64" i="37"/>
  <c r="M61" i="37"/>
  <c r="L191" i="37"/>
  <c r="L186" i="37"/>
  <c r="L185" i="37"/>
  <c r="L184" i="37"/>
  <c r="L176" i="37"/>
  <c r="L175" i="37"/>
  <c r="L174" i="37"/>
  <c r="L166" i="37"/>
  <c r="L164" i="37"/>
  <c r="L161" i="37" s="1"/>
  <c r="L156" i="37"/>
  <c r="L154" i="37"/>
  <c r="L151" i="37" s="1"/>
  <c r="L146" i="37"/>
  <c r="L141" i="37"/>
  <c r="L137" i="37"/>
  <c r="L133" i="37"/>
  <c r="L129" i="37"/>
  <c r="L125" i="37"/>
  <c r="L121" i="37"/>
  <c r="L117" i="37"/>
  <c r="L113" i="37"/>
  <c r="L111" i="37"/>
  <c r="L110" i="37"/>
  <c r="L103" i="37"/>
  <c r="L101" i="37"/>
  <c r="L98" i="37" s="1"/>
  <c r="L96" i="37"/>
  <c r="L93" i="37" s="1"/>
  <c r="L88" i="37"/>
  <c r="L84" i="37"/>
  <c r="L80" i="37"/>
  <c r="L79" i="37"/>
  <c r="L78" i="37"/>
  <c r="L77" i="37"/>
  <c r="L70" i="37"/>
  <c r="L65" i="37"/>
  <c r="L61" i="37"/>
  <c r="K191" i="37"/>
  <c r="K186" i="37"/>
  <c r="K181" i="37"/>
  <c r="K176" i="37"/>
  <c r="K171" i="37"/>
  <c r="K166" i="37"/>
  <c r="K161" i="37"/>
  <c r="K156" i="37"/>
  <c r="K151" i="37"/>
  <c r="K146" i="37"/>
  <c r="K141" i="37"/>
  <c r="K137" i="37"/>
  <c r="K133" i="37"/>
  <c r="K129" i="37"/>
  <c r="K125" i="37"/>
  <c r="K121" i="37"/>
  <c r="K117" i="37"/>
  <c r="K113" i="37"/>
  <c r="K110" i="37"/>
  <c r="K108" i="37" s="1"/>
  <c r="K103" i="37"/>
  <c r="K98" i="37"/>
  <c r="K96" i="37"/>
  <c r="K93" i="37" s="1"/>
  <c r="K88" i="37"/>
  <c r="K84" i="37"/>
  <c r="K80" i="37"/>
  <c r="K78" i="37"/>
  <c r="K77" i="37"/>
  <c r="K62" i="37" s="1"/>
  <c r="K70" i="37"/>
  <c r="K65" i="37"/>
  <c r="K64" i="37"/>
  <c r="K61" i="37"/>
  <c r="J191" i="37"/>
  <c r="J186" i="37"/>
  <c r="J181" i="37"/>
  <c r="J176" i="37"/>
  <c r="J171" i="37"/>
  <c r="J166" i="37"/>
  <c r="J161" i="37"/>
  <c r="J156" i="37"/>
  <c r="J151" i="37"/>
  <c r="J146" i="37"/>
  <c r="J141" i="37"/>
  <c r="J137" i="37"/>
  <c r="J133" i="37"/>
  <c r="J129" i="37"/>
  <c r="J125" i="37"/>
  <c r="J121" i="37"/>
  <c r="J117" i="37"/>
  <c r="J113" i="37"/>
  <c r="J110" i="37"/>
  <c r="J108" i="37" s="1"/>
  <c r="J103" i="37"/>
  <c r="J98" i="37"/>
  <c r="J96" i="37"/>
  <c r="J93" i="37" s="1"/>
  <c r="J88" i="37"/>
  <c r="J84" i="37"/>
  <c r="J80" i="37"/>
  <c r="J78" i="37"/>
  <c r="J77" i="37"/>
  <c r="J70" i="37"/>
  <c r="J65" i="37"/>
  <c r="J61" i="37"/>
  <c r="M196" i="37"/>
  <c r="L196" i="37"/>
  <c r="K196" i="37"/>
  <c r="J196" i="37"/>
  <c r="M201" i="37"/>
  <c r="L201" i="37"/>
  <c r="K201" i="37"/>
  <c r="J201" i="37"/>
  <c r="M222" i="37"/>
  <c r="M221" i="37"/>
  <c r="M220" i="37"/>
  <c r="M219" i="37"/>
  <c r="M218" i="37" s="1"/>
  <c r="L222" i="37"/>
  <c r="L221" i="37"/>
  <c r="L220" i="37"/>
  <c r="L219" i="37"/>
  <c r="K222" i="37"/>
  <c r="K221" i="37"/>
  <c r="K220" i="37"/>
  <c r="K219" i="37"/>
  <c r="J222" i="37"/>
  <c r="J221" i="37"/>
  <c r="J220" i="37"/>
  <c r="J219" i="37"/>
  <c r="M224" i="37"/>
  <c r="L224" i="37"/>
  <c r="K224" i="37"/>
  <c r="J224" i="37"/>
  <c r="M230" i="37"/>
  <c r="L230" i="37"/>
  <c r="K230" i="37"/>
  <c r="J230" i="37"/>
  <c r="M299" i="37"/>
  <c r="M298" i="37"/>
  <c r="M297" i="37"/>
  <c r="M289" i="37"/>
  <c r="M285" i="37"/>
  <c r="M281" i="37"/>
  <c r="M277" i="37"/>
  <c r="M276" i="37"/>
  <c r="M275" i="37"/>
  <c r="M274" i="37"/>
  <c r="M268" i="37"/>
  <c r="M255" i="37"/>
  <c r="M254" i="37"/>
  <c r="M251" i="37" s="1"/>
  <c r="M246" i="37"/>
  <c r="M245" i="37"/>
  <c r="M240" i="37" s="1"/>
  <c r="M216" i="37" s="1"/>
  <c r="M244" i="37"/>
  <c r="M241" i="37" s="1"/>
  <c r="M237" i="37"/>
  <c r="L299" i="37"/>
  <c r="L298" i="37"/>
  <c r="L297" i="37"/>
  <c r="L289" i="37"/>
  <c r="L285" i="37"/>
  <c r="L281" i="37"/>
  <c r="L277" i="37"/>
  <c r="L276" i="37"/>
  <c r="L275" i="37"/>
  <c r="L274" i="37"/>
  <c r="L268" i="37"/>
  <c r="L255" i="37"/>
  <c r="L254" i="37"/>
  <c r="L251" i="37" s="1"/>
  <c r="L246" i="37"/>
  <c r="L245" i="37"/>
  <c r="L244" i="37"/>
  <c r="L241" i="37" s="1"/>
  <c r="L237" i="37"/>
  <c r="K299" i="37"/>
  <c r="K297" i="37"/>
  <c r="K294" i="37" s="1"/>
  <c r="K289" i="37"/>
  <c r="K285" i="37"/>
  <c r="K281" i="37"/>
  <c r="K277" i="37"/>
  <c r="K276" i="37"/>
  <c r="K275" i="37"/>
  <c r="K239" i="37" s="1"/>
  <c r="K274" i="37"/>
  <c r="K238" i="37" s="1"/>
  <c r="K214" i="37" s="1"/>
  <c r="K268" i="37"/>
  <c r="K255" i="37"/>
  <c r="K240" i="37" s="1"/>
  <c r="K216" i="37" s="1"/>
  <c r="K246" i="37"/>
  <c r="K241" i="37"/>
  <c r="K237" i="37"/>
  <c r="J299" i="37"/>
  <c r="J297" i="37"/>
  <c r="J289" i="37"/>
  <c r="J285" i="37"/>
  <c r="J281" i="37"/>
  <c r="J277" i="37"/>
  <c r="J276" i="37"/>
  <c r="J275" i="37"/>
  <c r="J274" i="37"/>
  <c r="J268" i="37"/>
  <c r="J255" i="37"/>
  <c r="J246" i="37"/>
  <c r="J241" i="37"/>
  <c r="J237" i="37"/>
  <c r="M320" i="37"/>
  <c r="M319" i="37"/>
  <c r="M318" i="37"/>
  <c r="M317" i="37"/>
  <c r="L320" i="37"/>
  <c r="L319" i="37"/>
  <c r="L318" i="37"/>
  <c r="L317" i="37"/>
  <c r="K320" i="37"/>
  <c r="K319" i="37"/>
  <c r="K318" i="37"/>
  <c r="K317" i="37"/>
  <c r="K316" i="37" s="1"/>
  <c r="J320" i="37"/>
  <c r="J319" i="37"/>
  <c r="J318" i="37"/>
  <c r="J317" i="37"/>
  <c r="M322" i="37"/>
  <c r="L322" i="37"/>
  <c r="K322" i="37"/>
  <c r="J322" i="37"/>
  <c r="M328" i="37"/>
  <c r="L328" i="37"/>
  <c r="K328" i="37"/>
  <c r="J328" i="37"/>
  <c r="M370" i="37"/>
  <c r="M367" i="37" s="1"/>
  <c r="M365" i="37"/>
  <c r="M362" i="37" s="1"/>
  <c r="M360" i="37"/>
  <c r="M357" i="37" s="1"/>
  <c r="M355" i="37"/>
  <c r="M352" i="37" s="1"/>
  <c r="M348" i="37"/>
  <c r="M344" i="37"/>
  <c r="M339" i="37"/>
  <c r="M338" i="37"/>
  <c r="M336" i="37"/>
  <c r="M335" i="37"/>
  <c r="L370" i="37"/>
  <c r="L367" i="37" s="1"/>
  <c r="L365" i="37"/>
  <c r="L362" i="37" s="1"/>
  <c r="L360" i="37"/>
  <c r="L357" i="37" s="1"/>
  <c r="L355" i="37"/>
  <c r="L352" i="37" s="1"/>
  <c r="L348" i="37"/>
  <c r="L344" i="37"/>
  <c r="L339" i="37"/>
  <c r="L338" i="37"/>
  <c r="L336" i="37"/>
  <c r="L335" i="37"/>
  <c r="K370" i="37"/>
  <c r="K367" i="37" s="1"/>
  <c r="K362" i="37"/>
  <c r="K360" i="37"/>
  <c r="K357" i="37" s="1"/>
  <c r="K355" i="37"/>
  <c r="K352" i="37" s="1"/>
  <c r="K348" i="37"/>
  <c r="K344" i="37"/>
  <c r="K339" i="37"/>
  <c r="K338" i="37"/>
  <c r="K336" i="37"/>
  <c r="K335" i="37"/>
  <c r="J370" i="37"/>
  <c r="J367" i="37" s="1"/>
  <c r="J362" i="37"/>
  <c r="J360" i="37"/>
  <c r="J357" i="37" s="1"/>
  <c r="J355" i="37"/>
  <c r="J352" i="37" s="1"/>
  <c r="J348" i="37"/>
  <c r="J344" i="37"/>
  <c r="J339" i="37"/>
  <c r="J338" i="37"/>
  <c r="J336" i="37"/>
  <c r="J312" i="37" s="1"/>
  <c r="J335" i="37"/>
  <c r="M383" i="37"/>
  <c r="M382" i="37"/>
  <c r="M381" i="37"/>
  <c r="M380" i="37"/>
  <c r="L383" i="37"/>
  <c r="L382" i="37"/>
  <c r="L381" i="37"/>
  <c r="L380" i="37"/>
  <c r="K383" i="37"/>
  <c r="K382" i="37"/>
  <c r="K381" i="37"/>
  <c r="K380" i="37"/>
  <c r="K379" i="37"/>
  <c r="J383" i="37"/>
  <c r="J382" i="37"/>
  <c r="J379" i="37" s="1"/>
  <c r="J381" i="37"/>
  <c r="J380" i="37"/>
  <c r="M385" i="37"/>
  <c r="L385" i="37"/>
  <c r="K385" i="37"/>
  <c r="J385" i="37"/>
  <c r="M391" i="37"/>
  <c r="L391" i="37"/>
  <c r="K391" i="37"/>
  <c r="J391" i="37"/>
  <c r="M433" i="37"/>
  <c r="M431" i="37"/>
  <c r="M428" i="37" s="1"/>
  <c r="M423" i="37"/>
  <c r="M419" i="37"/>
  <c r="M415" i="37"/>
  <c r="M407" i="37"/>
  <c r="M406" i="37"/>
  <c r="M401" i="37" s="1"/>
  <c r="M404" i="37"/>
  <c r="M399" i="37"/>
  <c r="M398" i="37"/>
  <c r="L433" i="37"/>
  <c r="L431" i="37"/>
  <c r="L428" i="37"/>
  <c r="L423" i="37"/>
  <c r="L419" i="37"/>
  <c r="L415" i="37"/>
  <c r="L407" i="37"/>
  <c r="L406" i="37"/>
  <c r="L401" i="37" s="1"/>
  <c r="L404" i="37"/>
  <c r="L402" i="37" s="1"/>
  <c r="L400" i="37"/>
  <c r="L398" i="37"/>
  <c r="K433" i="37"/>
  <c r="K428" i="37"/>
  <c r="K423" i="37"/>
  <c r="K419" i="37"/>
  <c r="K415" i="37"/>
  <c r="K407" i="37"/>
  <c r="K406" i="37"/>
  <c r="K401" i="37" s="1"/>
  <c r="K404" i="37"/>
  <c r="K400" i="37"/>
  <c r="K376" i="37" s="1"/>
  <c r="K398" i="37"/>
  <c r="J433" i="37"/>
  <c r="J428" i="37"/>
  <c r="J423" i="37"/>
  <c r="J419" i="37"/>
  <c r="J415" i="37"/>
  <c r="J407" i="37"/>
  <c r="J406" i="37"/>
  <c r="J401" i="37" s="1"/>
  <c r="J377" i="37" s="1"/>
  <c r="J404" i="37"/>
  <c r="J402" i="37" s="1"/>
  <c r="J398" i="37"/>
  <c r="M449" i="37"/>
  <c r="M448" i="37"/>
  <c r="M447" i="37"/>
  <c r="M446" i="37"/>
  <c r="M440" i="37" s="1"/>
  <c r="L449" i="37"/>
  <c r="L448" i="37"/>
  <c r="L447" i="37"/>
  <c r="L446" i="37"/>
  <c r="L440" i="37" s="1"/>
  <c r="K449" i="37"/>
  <c r="K448" i="37"/>
  <c r="K447" i="37"/>
  <c r="K446" i="37"/>
  <c r="K440" i="37" s="1"/>
  <c r="J449" i="37"/>
  <c r="J448" i="37"/>
  <c r="J447" i="37"/>
  <c r="J446" i="37"/>
  <c r="J440" i="37" s="1"/>
  <c r="M451" i="37"/>
  <c r="L451" i="37"/>
  <c r="K451" i="37"/>
  <c r="J451" i="37"/>
  <c r="M457" i="37"/>
  <c r="L457" i="37"/>
  <c r="K457" i="37"/>
  <c r="J457" i="37"/>
  <c r="M467" i="37"/>
  <c r="M466" i="37"/>
  <c r="M465" i="37"/>
  <c r="L467" i="37"/>
  <c r="L466" i="37"/>
  <c r="L465" i="37"/>
  <c r="K467" i="37"/>
  <c r="K443" i="37" s="1"/>
  <c r="K466" i="37"/>
  <c r="K465" i="37"/>
  <c r="K441" i="37" s="1"/>
  <c r="J467" i="37"/>
  <c r="J466" i="37"/>
  <c r="J465" i="37"/>
  <c r="M506" i="37"/>
  <c r="L506" i="37"/>
  <c r="K506" i="37"/>
  <c r="J506" i="37"/>
  <c r="M511" i="37"/>
  <c r="L511" i="37"/>
  <c r="K511" i="37"/>
  <c r="J511" i="37"/>
  <c r="M489" i="37"/>
  <c r="L489" i="37"/>
  <c r="K489" i="37"/>
  <c r="J489" i="37"/>
  <c r="M539" i="37"/>
  <c r="L539" i="37"/>
  <c r="K539" i="37"/>
  <c r="J539" i="37"/>
  <c r="M538" i="37"/>
  <c r="L538" i="37"/>
  <c r="K538" i="37"/>
  <c r="J538" i="37"/>
  <c r="M537" i="37"/>
  <c r="L537" i="37"/>
  <c r="K537" i="37"/>
  <c r="J537" i="37"/>
  <c r="J535" i="37" s="1"/>
  <c r="M536" i="37"/>
  <c r="L536" i="37"/>
  <c r="K536" i="37"/>
  <c r="J536" i="37"/>
  <c r="M541" i="37"/>
  <c r="L541" i="37"/>
  <c r="K541" i="37"/>
  <c r="J541" i="37"/>
  <c r="M547" i="37"/>
  <c r="L547" i="37"/>
  <c r="K547" i="37"/>
  <c r="J547" i="37"/>
  <c r="M554" i="37"/>
  <c r="M530" i="37" s="1"/>
  <c r="L554" i="37"/>
  <c r="K554" i="37"/>
  <c r="J554" i="37"/>
  <c r="M555" i="37"/>
  <c r="L555" i="37"/>
  <c r="K555" i="37"/>
  <c r="J555" i="37"/>
  <c r="J556" i="37"/>
  <c r="M557" i="37"/>
  <c r="L557" i="37"/>
  <c r="K557" i="37"/>
  <c r="J557" i="37"/>
  <c r="J558" i="37"/>
  <c r="M561" i="37"/>
  <c r="L561" i="37"/>
  <c r="K558" i="37"/>
  <c r="J563" i="37"/>
  <c r="M566" i="37"/>
  <c r="M563" i="37" s="1"/>
  <c r="L566" i="37"/>
  <c r="L563" i="37" s="1"/>
  <c r="K563" i="37"/>
  <c r="C549" i="35"/>
  <c r="C548" i="35"/>
  <c r="C547" i="35"/>
  <c r="C546" i="35"/>
  <c r="C544" i="35"/>
  <c r="C543" i="35"/>
  <c r="C542" i="35"/>
  <c r="C541" i="35"/>
  <c r="C540" i="35"/>
  <c r="C538" i="35"/>
  <c r="C486" i="35"/>
  <c r="C485" i="35"/>
  <c r="C484" i="35"/>
  <c r="C483" i="35"/>
  <c r="C481" i="35"/>
  <c r="C480" i="35"/>
  <c r="C479" i="35"/>
  <c r="C478" i="35"/>
  <c r="C477" i="35"/>
  <c r="C475" i="35"/>
  <c r="G68" i="37"/>
  <c r="G77" i="37"/>
  <c r="G78" i="37"/>
  <c r="G101" i="37"/>
  <c r="G111" i="37"/>
  <c r="G164" i="37"/>
  <c r="G165" i="37"/>
  <c r="G174" i="37"/>
  <c r="G175" i="37"/>
  <c r="G184" i="37"/>
  <c r="G185" i="37"/>
  <c r="G244" i="37"/>
  <c r="G275" i="37"/>
  <c r="G492" i="37"/>
  <c r="G561" i="37"/>
  <c r="G566" i="37"/>
  <c r="D242" i="35" l="1"/>
  <c r="D551" i="35"/>
  <c r="E551" i="35" s="1"/>
  <c r="D529" i="35"/>
  <c r="E553" i="35"/>
  <c r="D17" i="35"/>
  <c r="D13" i="35" s="1"/>
  <c r="D22" i="35"/>
  <c r="D427" i="35"/>
  <c r="D404" i="35"/>
  <c r="D403" i="35" s="1"/>
  <c r="D19" i="35"/>
  <c r="D9" i="35" s="1"/>
  <c r="D346" i="35"/>
  <c r="K530" i="37"/>
  <c r="J442" i="37"/>
  <c r="L240" i="37"/>
  <c r="L216" i="37" s="1"/>
  <c r="M239" i="37"/>
  <c r="M215" i="37" s="1"/>
  <c r="J218" i="37"/>
  <c r="L218" i="37"/>
  <c r="D25" i="35"/>
  <c r="J240" i="37"/>
  <c r="L445" i="37"/>
  <c r="J272" i="37"/>
  <c r="J63" i="37"/>
  <c r="K63" i="37"/>
  <c r="D349" i="35"/>
  <c r="D30" i="35"/>
  <c r="L442" i="37"/>
  <c r="J239" i="37"/>
  <c r="J215" i="37" s="1"/>
  <c r="L239" i="37"/>
  <c r="L215" i="37" s="1"/>
  <c r="L312" i="37"/>
  <c r="J445" i="37"/>
  <c r="L441" i="37"/>
  <c r="L443" i="37"/>
  <c r="J399" i="37"/>
  <c r="J375" i="37" s="1"/>
  <c r="K402" i="37"/>
  <c r="L377" i="37"/>
  <c r="M379" i="37"/>
  <c r="K337" i="37"/>
  <c r="K334" i="37" s="1"/>
  <c r="M311" i="37"/>
  <c r="K251" i="37"/>
  <c r="L272" i="37"/>
  <c r="M272" i="37"/>
  <c r="L63" i="37"/>
  <c r="L108" i="37"/>
  <c r="L38" i="37"/>
  <c r="C304" i="37"/>
  <c r="J530" i="37"/>
  <c r="L530" i="37"/>
  <c r="L531" i="37"/>
  <c r="J533" i="37"/>
  <c r="L533" i="37"/>
  <c r="L463" i="37"/>
  <c r="J441" i="37"/>
  <c r="J443" i="37"/>
  <c r="K399" i="37"/>
  <c r="L399" i="37"/>
  <c r="L375" i="37" s="1"/>
  <c r="M400" i="37"/>
  <c r="M402" i="37"/>
  <c r="L379" i="37"/>
  <c r="M375" i="37"/>
  <c r="M377" i="37"/>
  <c r="M337" i="37"/>
  <c r="M334" i="37" s="1"/>
  <c r="J314" i="37"/>
  <c r="K311" i="37"/>
  <c r="L311" i="37"/>
  <c r="M316" i="37"/>
  <c r="M312" i="37"/>
  <c r="M314" i="37"/>
  <c r="J238" i="37"/>
  <c r="J214" i="37" s="1"/>
  <c r="J251" i="37"/>
  <c r="K272" i="37"/>
  <c r="K218" i="37"/>
  <c r="J21" i="37"/>
  <c r="L21" i="37"/>
  <c r="L75" i="37"/>
  <c r="L64" i="37"/>
  <c r="L181" i="37"/>
  <c r="M108" i="37"/>
  <c r="J38" i="37"/>
  <c r="J17" i="37"/>
  <c r="K17" i="37"/>
  <c r="C206" i="37"/>
  <c r="M556" i="37"/>
  <c r="M532" i="37" s="1"/>
  <c r="L439" i="37"/>
  <c r="M441" i="37"/>
  <c r="M443" i="37"/>
  <c r="K375" i="37"/>
  <c r="K377" i="37"/>
  <c r="J311" i="37"/>
  <c r="K312" i="37"/>
  <c r="K314" i="37"/>
  <c r="L314" i="37"/>
  <c r="M313" i="37"/>
  <c r="M310" i="37" s="1"/>
  <c r="L17" i="37"/>
  <c r="M17" i="37"/>
  <c r="K442" i="37"/>
  <c r="K439" i="37" s="1"/>
  <c r="D21" i="35"/>
  <c r="D11" i="35" s="1"/>
  <c r="D530" i="35"/>
  <c r="D527" i="35" s="1"/>
  <c r="D26" i="35"/>
  <c r="D63" i="35"/>
  <c r="D266" i="35"/>
  <c r="J19" i="37"/>
  <c r="K19" i="37"/>
  <c r="K30" i="37"/>
  <c r="L32" i="37"/>
  <c r="L16" i="37"/>
  <c r="L29" i="37"/>
  <c r="L18" i="37"/>
  <c r="M16" i="37"/>
  <c r="M32" i="37"/>
  <c r="M18" i="37"/>
  <c r="L556" i="37"/>
  <c r="L553" i="37" s="1"/>
  <c r="M558" i="37"/>
  <c r="K556" i="37"/>
  <c r="K532" i="37" s="1"/>
  <c r="K531" i="37"/>
  <c r="M531" i="37"/>
  <c r="K533" i="37"/>
  <c r="M533" i="37"/>
  <c r="K21" i="37"/>
  <c r="K24" i="37"/>
  <c r="M24" i="37"/>
  <c r="J16" i="37"/>
  <c r="J32" i="37"/>
  <c r="J29" i="37"/>
  <c r="J18" i="37"/>
  <c r="K16" i="37"/>
  <c r="K11" i="37" s="1"/>
  <c r="K32" i="37"/>
  <c r="K29" i="37"/>
  <c r="K26" i="37" s="1"/>
  <c r="K18" i="37"/>
  <c r="L30" i="37"/>
  <c r="L19" i="37"/>
  <c r="M30" i="37"/>
  <c r="M19" i="37"/>
  <c r="M553" i="37"/>
  <c r="L532" i="37"/>
  <c r="L529" i="37" s="1"/>
  <c r="K22" i="37"/>
  <c r="K12" i="37" s="1"/>
  <c r="L24" i="37"/>
  <c r="M21" i="37"/>
  <c r="L558" i="37"/>
  <c r="J553" i="37"/>
  <c r="K535" i="37"/>
  <c r="M535" i="37"/>
  <c r="J531" i="37"/>
  <c r="J439" i="37"/>
  <c r="K463" i="37"/>
  <c r="M463" i="37"/>
  <c r="K445" i="37"/>
  <c r="M445" i="37"/>
  <c r="M442" i="37"/>
  <c r="M439" i="37" s="1"/>
  <c r="L397" i="37"/>
  <c r="M397" i="37"/>
  <c r="J337" i="37"/>
  <c r="J313" i="37" s="1"/>
  <c r="J310" i="37" s="1"/>
  <c r="L337" i="37"/>
  <c r="L334" i="37" s="1"/>
  <c r="J316" i="37"/>
  <c r="L316" i="37"/>
  <c r="J294" i="37"/>
  <c r="L238" i="37"/>
  <c r="L214" i="37" s="1"/>
  <c r="L212" i="37" s="1"/>
  <c r="L294" i="37"/>
  <c r="M294" i="37"/>
  <c r="J62" i="37"/>
  <c r="J22" i="37" s="1"/>
  <c r="J12" i="37" s="1"/>
  <c r="J75" i="37"/>
  <c r="K75" i="37"/>
  <c r="L62" i="37"/>
  <c r="L171" i="37"/>
  <c r="M62" i="37"/>
  <c r="K38" i="37"/>
  <c r="M38" i="37"/>
  <c r="J376" i="37"/>
  <c r="L535" i="37"/>
  <c r="L60" i="37"/>
  <c r="J64" i="37"/>
  <c r="J30" i="37" s="1"/>
  <c r="J236" i="37"/>
  <c r="J463" i="37"/>
  <c r="J532" i="37"/>
  <c r="J529" i="37" s="1"/>
  <c r="J11" i="37"/>
  <c r="M63" i="37"/>
  <c r="K60" i="37"/>
  <c r="M238" i="37"/>
  <c r="M214" i="37" s="1"/>
  <c r="M212" i="37" s="1"/>
  <c r="M376" i="37"/>
  <c r="M373" i="37" s="1"/>
  <c r="L376" i="37"/>
  <c r="K397" i="37"/>
  <c r="K373" i="37"/>
  <c r="J397" i="37"/>
  <c r="D345" i="35" l="1"/>
  <c r="D12" i="35"/>
  <c r="D8" i="35" s="1"/>
  <c r="D24" i="35"/>
  <c r="J23" i="37"/>
  <c r="M14" i="37"/>
  <c r="K313" i="37"/>
  <c r="K310" i="37" s="1"/>
  <c r="L23" i="37"/>
  <c r="L22" i="37"/>
  <c r="L12" i="37" s="1"/>
  <c r="J373" i="37"/>
  <c r="L373" i="37"/>
  <c r="M236" i="37"/>
  <c r="J60" i="37"/>
  <c r="J24" i="37"/>
  <c r="J14" i="37" s="1"/>
  <c r="J216" i="37"/>
  <c r="J212" i="37" s="1"/>
  <c r="J334" i="37"/>
  <c r="K553" i="37"/>
  <c r="M60" i="37"/>
  <c r="M23" i="37"/>
  <c r="K215" i="37"/>
  <c r="K212" i="37" s="1"/>
  <c r="K236" i="37"/>
  <c r="M15" i="37"/>
  <c r="M11" i="37"/>
  <c r="L236" i="37"/>
  <c r="L14" i="37"/>
  <c r="L313" i="37"/>
  <c r="L310" i="37" s="1"/>
  <c r="M529" i="37"/>
  <c r="M13" i="37"/>
  <c r="L26" i="37"/>
  <c r="K14" i="37"/>
  <c r="L15" i="37"/>
  <c r="L11" i="37"/>
  <c r="M22" i="37"/>
  <c r="M12" i="37" s="1"/>
  <c r="K15" i="37"/>
  <c r="J26" i="37"/>
  <c r="J15" i="37"/>
  <c r="K23" i="37"/>
  <c r="K13" i="37" s="1"/>
  <c r="K529" i="37"/>
  <c r="M29" i="37"/>
  <c r="M26" i="37" s="1"/>
  <c r="L13" i="37"/>
  <c r="J13" i="37"/>
  <c r="C498" i="35"/>
  <c r="C499" i="35"/>
  <c r="C500" i="35"/>
  <c r="C501" i="35"/>
  <c r="C502" i="35"/>
  <c r="C503" i="35"/>
  <c r="C504" i="35"/>
  <c r="C505" i="35"/>
  <c r="C506" i="35"/>
  <c r="C507" i="35"/>
  <c r="C508" i="35"/>
  <c r="C509" i="35"/>
  <c r="C510" i="35"/>
  <c r="C511" i="35"/>
  <c r="C512" i="35"/>
  <c r="C513" i="35"/>
  <c r="C515" i="35"/>
  <c r="E515" i="35" s="1"/>
  <c r="C516" i="35"/>
  <c r="E516" i="35" s="1"/>
  <c r="C517" i="35"/>
  <c r="E517" i="35" s="1"/>
  <c r="C519" i="35"/>
  <c r="E519" i="35" s="1"/>
  <c r="C521" i="35"/>
  <c r="E521" i="35" s="1"/>
  <c r="C523" i="35"/>
  <c r="E523" i="35" s="1"/>
  <c r="C525" i="35"/>
  <c r="E525" i="35" s="1"/>
  <c r="F566" i="37"/>
  <c r="F563" i="37" s="1"/>
  <c r="E566" i="37"/>
  <c r="E563" i="37" s="1"/>
  <c r="D566" i="37"/>
  <c r="I563" i="37"/>
  <c r="G563" i="37"/>
  <c r="F561" i="37"/>
  <c r="F558" i="37" s="1"/>
  <c r="E561" i="37"/>
  <c r="D561" i="37"/>
  <c r="D558" i="37" s="1"/>
  <c r="I558" i="37"/>
  <c r="G558" i="37"/>
  <c r="E558" i="37"/>
  <c r="I557" i="37"/>
  <c r="G557" i="37"/>
  <c r="F557" i="37"/>
  <c r="E557" i="37"/>
  <c r="D557" i="37"/>
  <c r="I556" i="37"/>
  <c r="G556" i="37"/>
  <c r="E556" i="37"/>
  <c r="D556" i="37"/>
  <c r="I555" i="37"/>
  <c r="G555" i="37"/>
  <c r="G553" i="37" s="1"/>
  <c r="F555" i="37"/>
  <c r="E555" i="37"/>
  <c r="D555" i="37"/>
  <c r="I554" i="37"/>
  <c r="G554" i="37"/>
  <c r="F554" i="37"/>
  <c r="E554" i="37"/>
  <c r="D554" i="37"/>
  <c r="E553" i="37"/>
  <c r="I547" i="37"/>
  <c r="C545" i="35"/>
  <c r="G547" i="37"/>
  <c r="F547" i="37"/>
  <c r="E547" i="37"/>
  <c r="D547" i="37"/>
  <c r="I541" i="37"/>
  <c r="C539" i="35"/>
  <c r="G541" i="37"/>
  <c r="F541" i="37"/>
  <c r="E541" i="37"/>
  <c r="D541" i="37"/>
  <c r="I539" i="37"/>
  <c r="C537" i="35" s="1"/>
  <c r="C531" i="35" s="1"/>
  <c r="G539" i="37"/>
  <c r="G533" i="37" s="1"/>
  <c r="F539" i="37"/>
  <c r="E539" i="37"/>
  <c r="E533" i="37" s="1"/>
  <c r="D539" i="37"/>
  <c r="I538" i="37"/>
  <c r="C536" i="35" s="1"/>
  <c r="C530" i="35" s="1"/>
  <c r="G538" i="37"/>
  <c r="G532" i="37" s="1"/>
  <c r="F538" i="37"/>
  <c r="E538" i="37"/>
  <c r="E532" i="37" s="1"/>
  <c r="D538" i="37"/>
  <c r="D532" i="37" s="1"/>
  <c r="I537" i="37"/>
  <c r="C535" i="35" s="1"/>
  <c r="C529" i="35" s="1"/>
  <c r="E529" i="35" s="1"/>
  <c r="G537" i="37"/>
  <c r="G531" i="37" s="1"/>
  <c r="F537" i="37"/>
  <c r="E537" i="37"/>
  <c r="D537" i="37"/>
  <c r="D531" i="37" s="1"/>
  <c r="I536" i="37"/>
  <c r="C534" i="35" s="1"/>
  <c r="C528" i="35" s="1"/>
  <c r="G536" i="37"/>
  <c r="G530" i="37" s="1"/>
  <c r="F536" i="37"/>
  <c r="F530" i="37" s="1"/>
  <c r="E536" i="37"/>
  <c r="D536" i="37"/>
  <c r="D530" i="37" s="1"/>
  <c r="F535" i="37"/>
  <c r="F533" i="37"/>
  <c r="D533" i="37"/>
  <c r="I532" i="37"/>
  <c r="I531" i="37"/>
  <c r="F531" i="37"/>
  <c r="E531" i="37"/>
  <c r="I530" i="37"/>
  <c r="E530" i="37"/>
  <c r="G524" i="37"/>
  <c r="C522" i="35" s="1"/>
  <c r="E522" i="35" s="1"/>
  <c r="F524" i="37"/>
  <c r="E524" i="37"/>
  <c r="D524" i="37"/>
  <c r="G520" i="37"/>
  <c r="C518" i="35" s="1"/>
  <c r="E518" i="35" s="1"/>
  <c r="F520" i="37"/>
  <c r="E520" i="37"/>
  <c r="D520" i="37"/>
  <c r="I516" i="37"/>
  <c r="G516" i="37"/>
  <c r="C514" i="35" s="1"/>
  <c r="E514" i="35" s="1"/>
  <c r="F516" i="37"/>
  <c r="E516" i="37"/>
  <c r="D516" i="37"/>
  <c r="I515" i="37"/>
  <c r="G515" i="37"/>
  <c r="F515" i="37"/>
  <c r="F467" i="37" s="1"/>
  <c r="F443" i="37" s="1"/>
  <c r="E515" i="37"/>
  <c r="E511" i="37" s="1"/>
  <c r="D515" i="37"/>
  <c r="G514" i="37"/>
  <c r="F514" i="37"/>
  <c r="F466" i="37" s="1"/>
  <c r="F442" i="37" s="1"/>
  <c r="E514" i="37"/>
  <c r="D514" i="37"/>
  <c r="I513" i="37"/>
  <c r="G513" i="37"/>
  <c r="G511" i="37" s="1"/>
  <c r="F513" i="37"/>
  <c r="E513" i="37"/>
  <c r="D513" i="37"/>
  <c r="I511" i="37"/>
  <c r="I506" i="37"/>
  <c r="G506" i="37"/>
  <c r="F506" i="37"/>
  <c r="E506" i="37"/>
  <c r="D506" i="37"/>
  <c r="G502" i="37"/>
  <c r="F502" i="37"/>
  <c r="E502" i="37"/>
  <c r="D502" i="37"/>
  <c r="D500" i="37"/>
  <c r="C500" i="37" s="1"/>
  <c r="G498" i="37"/>
  <c r="F498" i="37"/>
  <c r="E498" i="37"/>
  <c r="G494" i="37"/>
  <c r="F494" i="37"/>
  <c r="E494" i="37"/>
  <c r="D494" i="37"/>
  <c r="I493" i="37"/>
  <c r="G493" i="37"/>
  <c r="F493" i="37"/>
  <c r="E493" i="37"/>
  <c r="D493" i="37"/>
  <c r="D467" i="37" s="1"/>
  <c r="D443" i="37" s="1"/>
  <c r="F492" i="37"/>
  <c r="E492" i="37"/>
  <c r="D492" i="37"/>
  <c r="D466" i="37" s="1"/>
  <c r="D442" i="37" s="1"/>
  <c r="I491" i="37"/>
  <c r="G491" i="37"/>
  <c r="G465" i="37" s="1"/>
  <c r="G463" i="37" s="1"/>
  <c r="F491" i="37"/>
  <c r="F465" i="37" s="1"/>
  <c r="E491" i="37"/>
  <c r="D491" i="37"/>
  <c r="D465" i="37" s="1"/>
  <c r="I467" i="37"/>
  <c r="G467" i="37"/>
  <c r="G443" i="37" s="1"/>
  <c r="I466" i="37"/>
  <c r="G466" i="37"/>
  <c r="E466" i="37"/>
  <c r="I465" i="37"/>
  <c r="E465" i="37"/>
  <c r="I457" i="37"/>
  <c r="C482" i="35"/>
  <c r="G457" i="37"/>
  <c r="F457" i="37"/>
  <c r="E457" i="37"/>
  <c r="D457" i="37"/>
  <c r="I451" i="37"/>
  <c r="C476" i="35"/>
  <c r="G451" i="37"/>
  <c r="F451" i="37"/>
  <c r="E451" i="37"/>
  <c r="D451" i="37"/>
  <c r="I449" i="37"/>
  <c r="C474" i="35" s="1"/>
  <c r="C468" i="35" s="1"/>
  <c r="G449" i="37"/>
  <c r="F449" i="37"/>
  <c r="E449" i="37"/>
  <c r="D449" i="37"/>
  <c r="I448" i="37"/>
  <c r="C473" i="35" s="1"/>
  <c r="C467" i="35" s="1"/>
  <c r="G448" i="37"/>
  <c r="F448" i="37"/>
  <c r="E448" i="37"/>
  <c r="E442" i="37" s="1"/>
  <c r="D448" i="37"/>
  <c r="I447" i="37"/>
  <c r="C472" i="35" s="1"/>
  <c r="C466" i="35" s="1"/>
  <c r="G447" i="37"/>
  <c r="G441" i="37" s="1"/>
  <c r="G439" i="37" s="1"/>
  <c r="F447" i="37"/>
  <c r="F445" i="37" s="1"/>
  <c r="E447" i="37"/>
  <c r="E445" i="37" s="1"/>
  <c r="D447" i="37"/>
  <c r="I446" i="37"/>
  <c r="C471" i="35" s="1"/>
  <c r="C465" i="35" s="1"/>
  <c r="G446" i="37"/>
  <c r="G440" i="37" s="1"/>
  <c r="F446" i="37"/>
  <c r="E446" i="37"/>
  <c r="D446" i="37"/>
  <c r="D440" i="37" s="1"/>
  <c r="G445" i="37"/>
  <c r="D445" i="37"/>
  <c r="G442" i="37"/>
  <c r="I440" i="37"/>
  <c r="F440" i="37"/>
  <c r="E440" i="37"/>
  <c r="I433" i="37"/>
  <c r="G433" i="37"/>
  <c r="F433" i="37"/>
  <c r="E433" i="37"/>
  <c r="D433" i="37"/>
  <c r="G431" i="37"/>
  <c r="G428" i="37" s="1"/>
  <c r="F431" i="37"/>
  <c r="F428" i="37" s="1"/>
  <c r="E431" i="37"/>
  <c r="E428" i="37" s="1"/>
  <c r="D431" i="37"/>
  <c r="D428" i="37" s="1"/>
  <c r="I428" i="37"/>
  <c r="I423" i="37"/>
  <c r="C453" i="35" s="1"/>
  <c r="G423" i="37"/>
  <c r="F423" i="37"/>
  <c r="E423" i="37"/>
  <c r="D423" i="37"/>
  <c r="I419" i="37"/>
  <c r="C449" i="35" s="1"/>
  <c r="G419" i="37"/>
  <c r="F419" i="37"/>
  <c r="E419" i="37"/>
  <c r="D419" i="37"/>
  <c r="I415" i="37"/>
  <c r="C445" i="35" s="1"/>
  <c r="G415" i="37"/>
  <c r="F415" i="37"/>
  <c r="E415" i="37"/>
  <c r="D415" i="37"/>
  <c r="I407" i="37"/>
  <c r="C437" i="35" s="1"/>
  <c r="G407" i="37"/>
  <c r="F407" i="37"/>
  <c r="E407" i="37"/>
  <c r="D407" i="37"/>
  <c r="I406" i="37"/>
  <c r="G406" i="37"/>
  <c r="G401" i="37" s="1"/>
  <c r="F406" i="37"/>
  <c r="E406" i="37"/>
  <c r="D406" i="37"/>
  <c r="D401" i="37" s="1"/>
  <c r="G405" i="37"/>
  <c r="E405" i="37"/>
  <c r="D405" i="37"/>
  <c r="C405" i="37" s="1"/>
  <c r="I404" i="37"/>
  <c r="C434" i="35" s="1"/>
  <c r="G404" i="37"/>
  <c r="G399" i="37" s="1"/>
  <c r="G375" i="37" s="1"/>
  <c r="F404" i="37"/>
  <c r="F399" i="37" s="1"/>
  <c r="E404" i="37"/>
  <c r="D404" i="37"/>
  <c r="C404" i="37" s="1"/>
  <c r="F401" i="37"/>
  <c r="I400" i="37"/>
  <c r="F400" i="37"/>
  <c r="E399" i="37"/>
  <c r="I398" i="37"/>
  <c r="C428" i="35" s="1"/>
  <c r="G398" i="37"/>
  <c r="F398" i="37"/>
  <c r="E398" i="37"/>
  <c r="D398" i="37"/>
  <c r="I391" i="37"/>
  <c r="C421" i="35" s="1"/>
  <c r="G391" i="37"/>
  <c r="F391" i="37"/>
  <c r="E391" i="37"/>
  <c r="D391" i="37"/>
  <c r="I385" i="37"/>
  <c r="C415" i="35" s="1"/>
  <c r="G385" i="37"/>
  <c r="F385" i="37"/>
  <c r="E385" i="37"/>
  <c r="D385" i="37"/>
  <c r="I383" i="37"/>
  <c r="C413" i="35" s="1"/>
  <c r="G383" i="37"/>
  <c r="F383" i="37"/>
  <c r="E383" i="37"/>
  <c r="D383" i="37"/>
  <c r="I382" i="37"/>
  <c r="C412" i="35" s="1"/>
  <c r="C406" i="35" s="1"/>
  <c r="G382" i="37"/>
  <c r="F382" i="37"/>
  <c r="E382" i="37"/>
  <c r="D382" i="37"/>
  <c r="I381" i="37"/>
  <c r="G381" i="37"/>
  <c r="F381" i="37"/>
  <c r="F379" i="37" s="1"/>
  <c r="E381" i="37"/>
  <c r="D381" i="37"/>
  <c r="I380" i="37"/>
  <c r="C410" i="35" s="1"/>
  <c r="G380" i="37"/>
  <c r="F380" i="37"/>
  <c r="E380" i="37"/>
  <c r="D380" i="37"/>
  <c r="I370" i="37"/>
  <c r="G370" i="37"/>
  <c r="G367" i="37"/>
  <c r="F367" i="37"/>
  <c r="E367" i="37"/>
  <c r="D367" i="37"/>
  <c r="G365" i="37"/>
  <c r="G362" i="37" s="1"/>
  <c r="I362" i="37"/>
  <c r="F362" i="37"/>
  <c r="E362" i="37"/>
  <c r="D362" i="37"/>
  <c r="I360" i="37"/>
  <c r="C395" i="35" s="1"/>
  <c r="G360" i="37"/>
  <c r="I357" i="37"/>
  <c r="C392" i="35" s="1"/>
  <c r="G357" i="37"/>
  <c r="F357" i="37"/>
  <c r="E357" i="37"/>
  <c r="D357" i="37"/>
  <c r="I355" i="37"/>
  <c r="C390" i="35" s="1"/>
  <c r="G355" i="37"/>
  <c r="G352" i="37" s="1"/>
  <c r="I352" i="37"/>
  <c r="C387" i="35" s="1"/>
  <c r="F352" i="37"/>
  <c r="E352" i="37"/>
  <c r="D352" i="37"/>
  <c r="I348" i="37"/>
  <c r="C383" i="35" s="1"/>
  <c r="G348" i="37"/>
  <c r="F348" i="37"/>
  <c r="E348" i="37"/>
  <c r="D348" i="37"/>
  <c r="I344" i="37"/>
  <c r="C379" i="35" s="1"/>
  <c r="G344" i="37"/>
  <c r="F344" i="37"/>
  <c r="E344" i="37"/>
  <c r="D344" i="37"/>
  <c r="G342" i="37"/>
  <c r="I339" i="37"/>
  <c r="G339" i="37"/>
  <c r="F339" i="37"/>
  <c r="E339" i="37"/>
  <c r="D339" i="37"/>
  <c r="I338" i="37"/>
  <c r="G338" i="37"/>
  <c r="F338" i="37"/>
  <c r="E338" i="37"/>
  <c r="D338" i="37"/>
  <c r="I337" i="37"/>
  <c r="F337" i="37"/>
  <c r="E337" i="37"/>
  <c r="D337" i="37"/>
  <c r="I336" i="37"/>
  <c r="C371" i="35" s="1"/>
  <c r="G336" i="37"/>
  <c r="F336" i="37"/>
  <c r="E336" i="37"/>
  <c r="D336" i="37"/>
  <c r="I335" i="37"/>
  <c r="G335" i="37"/>
  <c r="F335" i="37"/>
  <c r="E335" i="37"/>
  <c r="D335" i="37"/>
  <c r="I328" i="37"/>
  <c r="C363" i="35" s="1"/>
  <c r="G328" i="37"/>
  <c r="F328" i="37"/>
  <c r="E328" i="37"/>
  <c r="D328" i="37"/>
  <c r="I322" i="37"/>
  <c r="C357" i="35" s="1"/>
  <c r="G322" i="37"/>
  <c r="F322" i="37"/>
  <c r="E322" i="37"/>
  <c r="D322" i="37"/>
  <c r="I320" i="37"/>
  <c r="C355" i="35" s="1"/>
  <c r="C349" i="35" s="1"/>
  <c r="G320" i="37"/>
  <c r="F320" i="37"/>
  <c r="E320" i="37"/>
  <c r="D320" i="37"/>
  <c r="I319" i="37"/>
  <c r="C354" i="35" s="1"/>
  <c r="G319" i="37"/>
  <c r="F319" i="37"/>
  <c r="E319" i="37"/>
  <c r="D319" i="37"/>
  <c r="I318" i="37"/>
  <c r="C353" i="35" s="1"/>
  <c r="G318" i="37"/>
  <c r="F318" i="37"/>
  <c r="F312" i="37" s="1"/>
  <c r="E318" i="37"/>
  <c r="D318" i="37"/>
  <c r="I317" i="37"/>
  <c r="C352" i="35" s="1"/>
  <c r="G317" i="37"/>
  <c r="F317" i="37"/>
  <c r="E317" i="37"/>
  <c r="D317" i="37"/>
  <c r="I314" i="37"/>
  <c r="E314" i="37"/>
  <c r="D311" i="37"/>
  <c r="I299" i="37"/>
  <c r="C329" i="35" s="1"/>
  <c r="G299" i="37"/>
  <c r="F299" i="37"/>
  <c r="E299" i="37"/>
  <c r="D299" i="37"/>
  <c r="C299" i="37" s="1"/>
  <c r="G298" i="37"/>
  <c r="F298" i="37"/>
  <c r="F294" i="37" s="1"/>
  <c r="I297" i="37"/>
  <c r="C327" i="35" s="1"/>
  <c r="G297" i="37"/>
  <c r="G294" i="37" s="1"/>
  <c r="E297" i="37"/>
  <c r="E294" i="37" s="1"/>
  <c r="D294" i="37"/>
  <c r="E292" i="37"/>
  <c r="C292" i="37" s="1"/>
  <c r="I289" i="37"/>
  <c r="G289" i="37"/>
  <c r="F289" i="37"/>
  <c r="D289" i="37"/>
  <c r="I285" i="37"/>
  <c r="C315" i="35" s="1"/>
  <c r="G285" i="37"/>
  <c r="E285" i="37"/>
  <c r="D285" i="37"/>
  <c r="I281" i="37"/>
  <c r="C311" i="35" s="1"/>
  <c r="G281" i="37"/>
  <c r="D281" i="37"/>
  <c r="D279" i="37"/>
  <c r="C279" i="37" s="1"/>
  <c r="I277" i="37"/>
  <c r="C307" i="35" s="1"/>
  <c r="G277" i="37"/>
  <c r="F277" i="37"/>
  <c r="E277" i="37"/>
  <c r="I276" i="37"/>
  <c r="G276" i="37"/>
  <c r="F276" i="37"/>
  <c r="E276" i="37"/>
  <c r="D276" i="37"/>
  <c r="F275" i="37"/>
  <c r="E275" i="37"/>
  <c r="I274" i="37"/>
  <c r="G274" i="37"/>
  <c r="G238" i="37" s="1"/>
  <c r="F274" i="37"/>
  <c r="E274" i="37"/>
  <c r="E238" i="37" s="1"/>
  <c r="D274" i="37"/>
  <c r="I268" i="37"/>
  <c r="C298" i="35" s="1"/>
  <c r="G268" i="37"/>
  <c r="F268" i="37"/>
  <c r="E268" i="37"/>
  <c r="D268" i="37"/>
  <c r="G264" i="37"/>
  <c r="F264" i="37"/>
  <c r="E264" i="37"/>
  <c r="D264" i="37"/>
  <c r="I260" i="37"/>
  <c r="C290" i="35" s="1"/>
  <c r="G260" i="37"/>
  <c r="F260" i="37"/>
  <c r="E260" i="37"/>
  <c r="D260" i="37"/>
  <c r="I256" i="37"/>
  <c r="C286" i="35" s="1"/>
  <c r="G256" i="37"/>
  <c r="F256" i="37"/>
  <c r="E256" i="37"/>
  <c r="D256" i="37"/>
  <c r="I255" i="37"/>
  <c r="G255" i="37"/>
  <c r="F255" i="37"/>
  <c r="I251" i="37"/>
  <c r="G254" i="37"/>
  <c r="F254" i="37"/>
  <c r="E254" i="37"/>
  <c r="E251" i="37" s="1"/>
  <c r="D254" i="37"/>
  <c r="F249" i="37"/>
  <c r="F246" i="37" s="1"/>
  <c r="D249" i="37"/>
  <c r="I246" i="37"/>
  <c r="C276" i="35" s="1"/>
  <c r="G246" i="37"/>
  <c r="E246" i="37"/>
  <c r="G245" i="37"/>
  <c r="G241" i="37" s="1"/>
  <c r="F245" i="37"/>
  <c r="E245" i="37"/>
  <c r="F244" i="37"/>
  <c r="E244" i="37"/>
  <c r="D244" i="37"/>
  <c r="I241" i="37"/>
  <c r="F239" i="37"/>
  <c r="F215" i="37" s="1"/>
  <c r="I237" i="37"/>
  <c r="C267" i="35" s="1"/>
  <c r="G237" i="37"/>
  <c r="F237" i="37"/>
  <c r="E237" i="37"/>
  <c r="D237" i="37"/>
  <c r="I230" i="37"/>
  <c r="C260" i="35" s="1"/>
  <c r="G230" i="37"/>
  <c r="F230" i="37"/>
  <c r="E230" i="37"/>
  <c r="D230" i="37"/>
  <c r="C230" i="37" s="1"/>
  <c r="I224" i="37"/>
  <c r="C254" i="35" s="1"/>
  <c r="G224" i="37"/>
  <c r="F224" i="37"/>
  <c r="E224" i="37"/>
  <c r="D224" i="37"/>
  <c r="I222" i="37"/>
  <c r="C252" i="35" s="1"/>
  <c r="G222" i="37"/>
  <c r="F222" i="37"/>
  <c r="E222" i="37"/>
  <c r="D222" i="37"/>
  <c r="I221" i="37"/>
  <c r="C251" i="35" s="1"/>
  <c r="G221" i="37"/>
  <c r="F221" i="37"/>
  <c r="E221" i="37"/>
  <c r="D221" i="37"/>
  <c r="I220" i="37"/>
  <c r="C250" i="35" s="1"/>
  <c r="G220" i="37"/>
  <c r="F220" i="37"/>
  <c r="E220" i="37"/>
  <c r="D220" i="37"/>
  <c r="I219" i="37"/>
  <c r="C249" i="35" s="1"/>
  <c r="G219" i="37"/>
  <c r="F219" i="37"/>
  <c r="E219" i="37"/>
  <c r="E218" i="37" s="1"/>
  <c r="D219" i="37"/>
  <c r="I201" i="37"/>
  <c r="G201" i="37"/>
  <c r="F201" i="37"/>
  <c r="E201" i="37"/>
  <c r="D201" i="37"/>
  <c r="F199" i="37"/>
  <c r="C199" i="37" s="1"/>
  <c r="I196" i="37"/>
  <c r="C199" i="35" s="1"/>
  <c r="G196" i="37"/>
  <c r="E196" i="37"/>
  <c r="D196" i="37"/>
  <c r="I191" i="37"/>
  <c r="G194" i="37"/>
  <c r="G191" i="37" s="1"/>
  <c r="F194" i="37"/>
  <c r="E191" i="37"/>
  <c r="D191" i="37"/>
  <c r="E189" i="37"/>
  <c r="C189" i="37" s="1"/>
  <c r="G186" i="37"/>
  <c r="F186" i="37"/>
  <c r="D186" i="37"/>
  <c r="F185" i="37"/>
  <c r="E185" i="37"/>
  <c r="I181" i="37"/>
  <c r="G181" i="37"/>
  <c r="F184" i="37"/>
  <c r="F181" i="37" s="1"/>
  <c r="D184" i="37"/>
  <c r="D179" i="37"/>
  <c r="C179" i="37" s="1"/>
  <c r="I176" i="37"/>
  <c r="C179" i="35" s="1"/>
  <c r="G176" i="37"/>
  <c r="F176" i="37"/>
  <c r="E176" i="37"/>
  <c r="F175" i="37"/>
  <c r="E175" i="37"/>
  <c r="I171" i="37"/>
  <c r="G171" i="37"/>
  <c r="F174" i="37"/>
  <c r="E174" i="37"/>
  <c r="F171" i="37"/>
  <c r="F169" i="37"/>
  <c r="C169" i="37" s="1"/>
  <c r="I166" i="37"/>
  <c r="C169" i="35" s="1"/>
  <c r="G166" i="37"/>
  <c r="F166" i="37"/>
  <c r="E166" i="37"/>
  <c r="D166" i="37"/>
  <c r="F165" i="37"/>
  <c r="E165" i="37"/>
  <c r="E161" i="37" s="1"/>
  <c r="D165" i="37"/>
  <c r="F164" i="37"/>
  <c r="E164" i="37"/>
  <c r="D164" i="37"/>
  <c r="I161" i="37"/>
  <c r="G161" i="37"/>
  <c r="I156" i="37"/>
  <c r="C159" i="35" s="1"/>
  <c r="G156" i="37"/>
  <c r="F156" i="37"/>
  <c r="E156" i="37"/>
  <c r="D156" i="37"/>
  <c r="G154" i="37"/>
  <c r="G151" i="37" s="1"/>
  <c r="F154" i="37"/>
  <c r="F151" i="37" s="1"/>
  <c r="E154" i="37"/>
  <c r="D154" i="37"/>
  <c r="I151" i="37"/>
  <c r="E151" i="37"/>
  <c r="F149" i="37"/>
  <c r="C149" i="37" s="1"/>
  <c r="I146" i="37"/>
  <c r="C149" i="35" s="1"/>
  <c r="G146" i="37"/>
  <c r="E146" i="37"/>
  <c r="D146" i="37"/>
  <c r="D144" i="37"/>
  <c r="C144" i="37" s="1"/>
  <c r="I141" i="37"/>
  <c r="C144" i="35" s="1"/>
  <c r="G141" i="37"/>
  <c r="F141" i="37"/>
  <c r="E141" i="37"/>
  <c r="C140" i="35"/>
  <c r="G137" i="37"/>
  <c r="F137" i="37"/>
  <c r="E137" i="37"/>
  <c r="D137" i="37"/>
  <c r="C137" i="37" s="1"/>
  <c r="I133" i="37"/>
  <c r="C136" i="35" s="1"/>
  <c r="G133" i="37"/>
  <c r="E133" i="37"/>
  <c r="D133" i="37"/>
  <c r="C132" i="35"/>
  <c r="G129" i="37"/>
  <c r="F129" i="37"/>
  <c r="E129" i="37"/>
  <c r="D129" i="37"/>
  <c r="D127" i="37"/>
  <c r="C127" i="37" s="1"/>
  <c r="I125" i="37"/>
  <c r="C128" i="35" s="1"/>
  <c r="G125" i="37"/>
  <c r="F125" i="37"/>
  <c r="E125" i="37"/>
  <c r="D123" i="37"/>
  <c r="C123" i="37" s="1"/>
  <c r="I121" i="37"/>
  <c r="C124" i="35" s="1"/>
  <c r="G121" i="37"/>
  <c r="F121" i="37"/>
  <c r="E121" i="37"/>
  <c r="I117" i="37"/>
  <c r="C120" i="35" s="1"/>
  <c r="G117" i="37"/>
  <c r="F117" i="37"/>
  <c r="E117" i="37"/>
  <c r="D117" i="37"/>
  <c r="I113" i="37"/>
  <c r="C116" i="35" s="1"/>
  <c r="G113" i="37"/>
  <c r="E113" i="37"/>
  <c r="D113" i="37"/>
  <c r="E112" i="37"/>
  <c r="C112" i="37" s="1"/>
  <c r="F111" i="37"/>
  <c r="E111" i="37"/>
  <c r="I108" i="37"/>
  <c r="G110" i="37"/>
  <c r="G108" i="37" s="1"/>
  <c r="F110" i="37"/>
  <c r="E110" i="37"/>
  <c r="D110" i="37"/>
  <c r="D62" i="37" s="1"/>
  <c r="I103" i="37"/>
  <c r="C106" i="35" s="1"/>
  <c r="G103" i="37"/>
  <c r="F103" i="37"/>
  <c r="E103" i="37"/>
  <c r="D103" i="37"/>
  <c r="I98" i="37"/>
  <c r="G98" i="37"/>
  <c r="F101" i="37"/>
  <c r="F98" i="37" s="1"/>
  <c r="E101" i="37"/>
  <c r="E98" i="37" s="1"/>
  <c r="D101" i="37"/>
  <c r="I96" i="37"/>
  <c r="G96" i="37"/>
  <c r="G93" i="37" s="1"/>
  <c r="F96" i="37"/>
  <c r="F93" i="37" s="1"/>
  <c r="E96" i="37"/>
  <c r="D96" i="37"/>
  <c r="E93" i="37"/>
  <c r="I88" i="37"/>
  <c r="C91" i="35" s="1"/>
  <c r="G88" i="37"/>
  <c r="F88" i="37"/>
  <c r="E88" i="37"/>
  <c r="D88" i="37"/>
  <c r="I84" i="37"/>
  <c r="C87" i="35" s="1"/>
  <c r="G84" i="37"/>
  <c r="F84" i="37"/>
  <c r="E84" i="37"/>
  <c r="D84" i="37"/>
  <c r="I80" i="37"/>
  <c r="C83" i="35" s="1"/>
  <c r="G80" i="37"/>
  <c r="F80" i="37"/>
  <c r="E80" i="37"/>
  <c r="D80" i="37"/>
  <c r="G79" i="37"/>
  <c r="G64" i="37" s="1"/>
  <c r="F79" i="37"/>
  <c r="F64" i="37" s="1"/>
  <c r="E79" i="37"/>
  <c r="D79" i="37"/>
  <c r="F78" i="37"/>
  <c r="E78" i="37"/>
  <c r="D78" i="37"/>
  <c r="I77" i="37"/>
  <c r="E77" i="37"/>
  <c r="G75" i="37"/>
  <c r="F73" i="37"/>
  <c r="C73" i="37" s="1"/>
  <c r="I70" i="37"/>
  <c r="C73" i="35" s="1"/>
  <c r="G70" i="37"/>
  <c r="E70" i="37"/>
  <c r="D70" i="37"/>
  <c r="I65" i="37"/>
  <c r="G65" i="37"/>
  <c r="F68" i="37"/>
  <c r="F65" i="37" s="1"/>
  <c r="E68" i="37"/>
  <c r="E65" i="37" s="1"/>
  <c r="D68" i="37"/>
  <c r="I64" i="37"/>
  <c r="I62" i="37"/>
  <c r="G62" i="37"/>
  <c r="F62" i="37"/>
  <c r="I61" i="37"/>
  <c r="G61" i="37"/>
  <c r="G21" i="37" s="1"/>
  <c r="F61" i="37"/>
  <c r="E61" i="37"/>
  <c r="E21" i="37" s="1"/>
  <c r="D61" i="37"/>
  <c r="I54" i="37"/>
  <c r="C52" i="35" s="1"/>
  <c r="G54" i="37"/>
  <c r="F54" i="37"/>
  <c r="E54" i="37"/>
  <c r="D54" i="37"/>
  <c r="F51" i="37"/>
  <c r="C51" i="37" s="1"/>
  <c r="I48" i="37"/>
  <c r="C46" i="35" s="1"/>
  <c r="G48" i="37"/>
  <c r="E48" i="37"/>
  <c r="D48" i="37"/>
  <c r="B47" i="37"/>
  <c r="B52" i="37" s="1"/>
  <c r="F46" i="37"/>
  <c r="B46" i="37"/>
  <c r="B51" i="37" s="1"/>
  <c r="B45" i="37"/>
  <c r="B50" i="37" s="1"/>
  <c r="B44" i="37"/>
  <c r="B49" i="37" s="1"/>
  <c r="I43" i="37"/>
  <c r="G43" i="37"/>
  <c r="E43" i="37"/>
  <c r="D43" i="37"/>
  <c r="I42" i="37"/>
  <c r="C40" i="35" s="1"/>
  <c r="G42" i="37"/>
  <c r="F42" i="37"/>
  <c r="F36" i="37" s="1"/>
  <c r="E42" i="37"/>
  <c r="D42" i="37"/>
  <c r="I41" i="37"/>
  <c r="C39" i="35" s="1"/>
  <c r="G41" i="37"/>
  <c r="G35" i="37" s="1"/>
  <c r="E41" i="37"/>
  <c r="E35" i="37" s="1"/>
  <c r="E18" i="37" s="1"/>
  <c r="D41" i="37"/>
  <c r="D35" i="37" s="1"/>
  <c r="D18" i="37" s="1"/>
  <c r="I40" i="37"/>
  <c r="G40" i="37"/>
  <c r="G34" i="37" s="1"/>
  <c r="G28" i="37" s="1"/>
  <c r="F40" i="37"/>
  <c r="F34" i="37" s="1"/>
  <c r="F28" i="37" s="1"/>
  <c r="E40" i="37"/>
  <c r="E34" i="37" s="1"/>
  <c r="D40" i="37"/>
  <c r="I39" i="37"/>
  <c r="G39" i="37"/>
  <c r="F39" i="37"/>
  <c r="F33" i="37" s="1"/>
  <c r="F16" i="37" s="1"/>
  <c r="F11" i="37" s="1"/>
  <c r="E39" i="37"/>
  <c r="D39" i="37"/>
  <c r="I36" i="37"/>
  <c r="G36" i="37"/>
  <c r="E36" i="37"/>
  <c r="E19" i="37" s="1"/>
  <c r="D33" i="37"/>
  <c r="D16" i="37" s="1"/>
  <c r="F21" i="37"/>
  <c r="D21" i="37"/>
  <c r="G19" i="37"/>
  <c r="G18" i="37"/>
  <c r="U14" i="37"/>
  <c r="U15" i="37" s="1"/>
  <c r="T14" i="37"/>
  <c r="T15" i="37" s="1"/>
  <c r="S14" i="37"/>
  <c r="S15" i="37" s="1"/>
  <c r="R14" i="37"/>
  <c r="R15" i="37" s="1"/>
  <c r="V13" i="37"/>
  <c r="V12" i="37"/>
  <c r="V8" i="37"/>
  <c r="U8" i="37"/>
  <c r="T8" i="37"/>
  <c r="S8" i="37"/>
  <c r="R8" i="37"/>
  <c r="Q8" i="37"/>
  <c r="C243" i="35" l="1"/>
  <c r="C347" i="35"/>
  <c r="C527" i="35"/>
  <c r="C464" i="35"/>
  <c r="D18" i="35"/>
  <c r="C404" i="35"/>
  <c r="C372" i="35"/>
  <c r="C348" i="35" s="1"/>
  <c r="C351" i="35"/>
  <c r="C324" i="35"/>
  <c r="C269" i="35"/>
  <c r="C245" i="35" s="1"/>
  <c r="E245" i="35" s="1"/>
  <c r="F463" i="37"/>
  <c r="F441" i="37"/>
  <c r="F439" i="37" s="1"/>
  <c r="G529" i="37"/>
  <c r="E529" i="37"/>
  <c r="C465" i="37"/>
  <c r="D441" i="37"/>
  <c r="D439" i="37" s="1"/>
  <c r="F17" i="37"/>
  <c r="C224" i="37"/>
  <c r="E272" i="37"/>
  <c r="F316" i="37"/>
  <c r="I334" i="37"/>
  <c r="C370" i="35"/>
  <c r="E375" i="37"/>
  <c r="F511" i="37"/>
  <c r="D535" i="37"/>
  <c r="C42" i="37"/>
  <c r="C77" i="37"/>
  <c r="C113" i="37"/>
  <c r="C220" i="37"/>
  <c r="G316" i="37"/>
  <c r="I376" i="37"/>
  <c r="I402" i="37"/>
  <c r="C436" i="35"/>
  <c r="C432" i="35" s="1"/>
  <c r="C423" i="37"/>
  <c r="E441" i="37"/>
  <c r="I445" i="37"/>
  <c r="C470" i="35" s="1"/>
  <c r="E535" i="37"/>
  <c r="L20" i="37"/>
  <c r="I75" i="37"/>
  <c r="E65" i="35"/>
  <c r="C80" i="37"/>
  <c r="E334" i="37"/>
  <c r="D489" i="37"/>
  <c r="I218" i="37"/>
  <c r="C248" i="35" s="1"/>
  <c r="C222" i="37"/>
  <c r="E239" i="37"/>
  <c r="E215" i="37" s="1"/>
  <c r="F272" i="37"/>
  <c r="I312" i="37"/>
  <c r="C411" i="35"/>
  <c r="G489" i="37"/>
  <c r="G535" i="37"/>
  <c r="F556" i="37"/>
  <c r="F532" i="37" s="1"/>
  <c r="E38" i="37"/>
  <c r="I34" i="37"/>
  <c r="C32" i="35" s="1"/>
  <c r="C38" i="35"/>
  <c r="C88" i="37"/>
  <c r="D176" i="37"/>
  <c r="I240" i="37"/>
  <c r="G272" i="37"/>
  <c r="D402" i="37"/>
  <c r="G402" i="37"/>
  <c r="I441" i="37"/>
  <c r="I443" i="37"/>
  <c r="I489" i="37"/>
  <c r="I535" i="37"/>
  <c r="C533" i="35" s="1"/>
  <c r="D553" i="37"/>
  <c r="C566" i="37"/>
  <c r="I238" i="37"/>
  <c r="C268" i="35" s="1"/>
  <c r="C244" i="35" s="1"/>
  <c r="C304" i="35"/>
  <c r="C302" i="35" s="1"/>
  <c r="E302" i="35" s="1"/>
  <c r="I272" i="37"/>
  <c r="I21" i="37"/>
  <c r="C64" i="35"/>
  <c r="I63" i="37"/>
  <c r="E171" i="37"/>
  <c r="C221" i="37"/>
  <c r="D275" i="37"/>
  <c r="D272" i="37" s="1"/>
  <c r="C272" i="37" s="1"/>
  <c r="F334" i="37"/>
  <c r="F376" i="37"/>
  <c r="E402" i="37"/>
  <c r="D511" i="37"/>
  <c r="F553" i="37"/>
  <c r="I19" i="37"/>
  <c r="C17" i="35" s="1"/>
  <c r="C34" i="35"/>
  <c r="C28" i="35" s="1"/>
  <c r="G38" i="37"/>
  <c r="I38" i="37"/>
  <c r="C36" i="35" s="1"/>
  <c r="C37" i="35"/>
  <c r="E62" i="37"/>
  <c r="E64" i="37"/>
  <c r="C101" i="37"/>
  <c r="F108" i="37"/>
  <c r="G218" i="37"/>
  <c r="D238" i="37"/>
  <c r="D214" i="37" s="1"/>
  <c r="E316" i="37"/>
  <c r="F314" i="37"/>
  <c r="I367" i="37"/>
  <c r="I399" i="37"/>
  <c r="C429" i="35" s="1"/>
  <c r="C415" i="37"/>
  <c r="F489" i="37"/>
  <c r="I533" i="37"/>
  <c r="J20" i="37"/>
  <c r="J10" i="37"/>
  <c r="I216" i="37"/>
  <c r="C246" i="35"/>
  <c r="I442" i="37"/>
  <c r="F313" i="37"/>
  <c r="F397" i="37"/>
  <c r="G377" i="37"/>
  <c r="C506" i="37"/>
  <c r="I553" i="37"/>
  <c r="C154" i="37"/>
  <c r="C165" i="37"/>
  <c r="E184" i="37"/>
  <c r="E181" i="37" s="1"/>
  <c r="C194" i="37"/>
  <c r="E241" i="37"/>
  <c r="C254" i="37"/>
  <c r="F251" i="37"/>
  <c r="I316" i="37"/>
  <c r="C322" i="37"/>
  <c r="C328" i="37"/>
  <c r="G337" i="37"/>
  <c r="C380" i="37"/>
  <c r="C381" i="37"/>
  <c r="C382" i="37"/>
  <c r="C383" i="37"/>
  <c r="F377" i="37"/>
  <c r="C385" i="37"/>
  <c r="C391" i="37"/>
  <c r="F402" i="37"/>
  <c r="C491" i="37"/>
  <c r="C492" i="37"/>
  <c r="E489" i="37"/>
  <c r="C494" i="37"/>
  <c r="C530" i="37"/>
  <c r="C531" i="37"/>
  <c r="F529" i="37"/>
  <c r="I529" i="37"/>
  <c r="I294" i="37"/>
  <c r="I239" i="37"/>
  <c r="C48" i="37"/>
  <c r="F48" i="37"/>
  <c r="C68" i="37"/>
  <c r="F63" i="37"/>
  <c r="F23" i="37" s="1"/>
  <c r="C79" i="37"/>
  <c r="C84" i="37"/>
  <c r="I93" i="37"/>
  <c r="D121" i="37"/>
  <c r="D125" i="37"/>
  <c r="C125" i="37" s="1"/>
  <c r="D141" i="37"/>
  <c r="C141" i="37" s="1"/>
  <c r="C164" i="37"/>
  <c r="F161" i="37"/>
  <c r="C175" i="37"/>
  <c r="C176" i="37"/>
  <c r="C184" i="37"/>
  <c r="E186" i="37"/>
  <c r="F191" i="37"/>
  <c r="C219" i="37"/>
  <c r="F218" i="37"/>
  <c r="F238" i="37"/>
  <c r="D239" i="37"/>
  <c r="D215" i="37" s="1"/>
  <c r="G240" i="37"/>
  <c r="G216" i="37" s="1"/>
  <c r="D277" i="37"/>
  <c r="C281" i="37"/>
  <c r="C317" i="37"/>
  <c r="F311" i="37"/>
  <c r="C318" i="37"/>
  <c r="C319" i="37"/>
  <c r="C320" i="37"/>
  <c r="G334" i="37"/>
  <c r="C370" i="37"/>
  <c r="C398" i="37"/>
  <c r="D399" i="37"/>
  <c r="D400" i="37"/>
  <c r="E401" i="37"/>
  <c r="E377" i="37" s="1"/>
  <c r="I401" i="37"/>
  <c r="C431" i="35" s="1"/>
  <c r="C406" i="37"/>
  <c r="C407" i="37"/>
  <c r="C419" i="37"/>
  <c r="C440" i="37"/>
  <c r="C441" i="37"/>
  <c r="C445" i="37"/>
  <c r="C446" i="37"/>
  <c r="C447" i="37"/>
  <c r="C448" i="37"/>
  <c r="C449" i="37"/>
  <c r="C451" i="37"/>
  <c r="C457" i="37"/>
  <c r="D463" i="37"/>
  <c r="D498" i="37"/>
  <c r="C502" i="37"/>
  <c r="D529" i="37"/>
  <c r="C533" i="37"/>
  <c r="C535" i="37"/>
  <c r="D563" i="37"/>
  <c r="E30" i="37"/>
  <c r="G24" i="37"/>
  <c r="E240" i="37"/>
  <c r="E312" i="37"/>
  <c r="G312" i="37"/>
  <c r="G314" i="37"/>
  <c r="F375" i="37"/>
  <c r="F373" i="37" s="1"/>
  <c r="C401" i="37"/>
  <c r="I30" i="37"/>
  <c r="K10" i="37"/>
  <c r="K20" i="37"/>
  <c r="E28" i="37"/>
  <c r="E17" i="37"/>
  <c r="I28" i="37"/>
  <c r="I17" i="37"/>
  <c r="C15" i="35" s="1"/>
  <c r="E22" i="37"/>
  <c r="E214" i="37"/>
  <c r="G214" i="37"/>
  <c r="G22" i="37"/>
  <c r="I214" i="37"/>
  <c r="I22" i="37"/>
  <c r="E216" i="37"/>
  <c r="I24" i="37"/>
  <c r="I215" i="37"/>
  <c r="F310" i="37"/>
  <c r="C511" i="37"/>
  <c r="C513" i="37"/>
  <c r="C514" i="37"/>
  <c r="C515" i="37"/>
  <c r="C516" i="37"/>
  <c r="C520" i="37"/>
  <c r="C524" i="37"/>
  <c r="L10" i="37"/>
  <c r="C45" i="37"/>
  <c r="F30" i="37"/>
  <c r="D11" i="37"/>
  <c r="V14" i="37"/>
  <c r="V15" i="37" s="1"/>
  <c r="G17" i="37"/>
  <c r="F19" i="37"/>
  <c r="F14" i="37" s="1"/>
  <c r="G30" i="37"/>
  <c r="D38" i="37"/>
  <c r="C39" i="37"/>
  <c r="C40" i="37"/>
  <c r="C46" i="37"/>
  <c r="C54" i="37"/>
  <c r="C61" i="37"/>
  <c r="F60" i="37"/>
  <c r="C62" i="37"/>
  <c r="D64" i="37"/>
  <c r="D65" i="37"/>
  <c r="E75" i="37"/>
  <c r="C78" i="37"/>
  <c r="F75" i="37"/>
  <c r="C96" i="37"/>
  <c r="D98" i="37"/>
  <c r="C103" i="37"/>
  <c r="C110" i="37"/>
  <c r="E108" i="37"/>
  <c r="C117" i="37"/>
  <c r="C121" i="37"/>
  <c r="C129" i="37"/>
  <c r="C133" i="37"/>
  <c r="C156" i="37"/>
  <c r="C166" i="37"/>
  <c r="D174" i="37"/>
  <c r="D181" i="37"/>
  <c r="C185" i="37"/>
  <c r="C186" i="37"/>
  <c r="G239" i="37"/>
  <c r="G215" i="37" s="1"/>
  <c r="G212" i="37" s="1"/>
  <c r="C244" i="37"/>
  <c r="F241" i="37"/>
  <c r="C245" i="37"/>
  <c r="C249" i="37"/>
  <c r="D251" i="37"/>
  <c r="G251" i="37"/>
  <c r="C255" i="37"/>
  <c r="C256" i="37"/>
  <c r="C260" i="37"/>
  <c r="C264" i="37"/>
  <c r="C268" i="37"/>
  <c r="C274" i="37"/>
  <c r="C275" i="37"/>
  <c r="C276" i="37"/>
  <c r="F240" i="37"/>
  <c r="F236" i="37" s="1"/>
  <c r="C277" i="37"/>
  <c r="E289" i="37"/>
  <c r="C297" i="37"/>
  <c r="C298" i="37"/>
  <c r="D313" i="37"/>
  <c r="D316" i="37"/>
  <c r="E313" i="37"/>
  <c r="G313" i="37"/>
  <c r="C335" i="37"/>
  <c r="C338" i="37"/>
  <c r="C342" i="37"/>
  <c r="C344" i="37"/>
  <c r="C348" i="37"/>
  <c r="C352" i="37"/>
  <c r="C355" i="37"/>
  <c r="C360" i="37"/>
  <c r="C365" i="37"/>
  <c r="C367" i="37"/>
  <c r="D375" i="37"/>
  <c r="D376" i="37"/>
  <c r="D377" i="37"/>
  <c r="D379" i="37"/>
  <c r="E379" i="37"/>
  <c r="G379" i="37"/>
  <c r="I379" i="37"/>
  <c r="E400" i="37"/>
  <c r="G400" i="37"/>
  <c r="C431" i="37"/>
  <c r="I463" i="37"/>
  <c r="E467" i="37"/>
  <c r="C493" i="37"/>
  <c r="C498" i="37"/>
  <c r="C536" i="37"/>
  <c r="C537" i="37"/>
  <c r="C538" i="37"/>
  <c r="C539" i="37"/>
  <c r="C541" i="37"/>
  <c r="C547" i="37"/>
  <c r="C554" i="37"/>
  <c r="C555" i="37"/>
  <c r="C557" i="37"/>
  <c r="C561" i="37"/>
  <c r="M20" i="37"/>
  <c r="M10" i="37"/>
  <c r="F24" i="37"/>
  <c r="E236" i="37"/>
  <c r="C237" i="37"/>
  <c r="C288" i="37"/>
  <c r="C21" i="37"/>
  <c r="I236" i="37"/>
  <c r="C238" i="37"/>
  <c r="D240" i="37"/>
  <c r="C285" i="37"/>
  <c r="C289" i="37"/>
  <c r="C294" i="37"/>
  <c r="C336" i="37"/>
  <c r="C339" i="37"/>
  <c r="I35" i="37"/>
  <c r="C65" i="37"/>
  <c r="C98" i="37"/>
  <c r="C64" i="37"/>
  <c r="C181" i="37"/>
  <c r="C191" i="37"/>
  <c r="C201" i="37"/>
  <c r="C251" i="37"/>
  <c r="C215" i="37"/>
  <c r="C239" i="37"/>
  <c r="I313" i="37"/>
  <c r="C357" i="37"/>
  <c r="C402" i="37"/>
  <c r="C400" i="37"/>
  <c r="C428" i="37"/>
  <c r="C466" i="37"/>
  <c r="C489" i="37"/>
  <c r="C442" i="37"/>
  <c r="C558" i="37"/>
  <c r="C532" i="37"/>
  <c r="C553" i="37"/>
  <c r="C556" i="37"/>
  <c r="C563" i="37"/>
  <c r="G14" i="37"/>
  <c r="G12" i="37"/>
  <c r="D27" i="37"/>
  <c r="F27" i="37"/>
  <c r="E33" i="37"/>
  <c r="G33" i="37"/>
  <c r="I33" i="37"/>
  <c r="C31" i="35" s="1"/>
  <c r="D34" i="37"/>
  <c r="C34" i="37" s="1"/>
  <c r="D36" i="37"/>
  <c r="C36" i="37" s="1"/>
  <c r="F41" i="37"/>
  <c r="C41" i="37" s="1"/>
  <c r="F43" i="37"/>
  <c r="C43" i="37" s="1"/>
  <c r="E63" i="37"/>
  <c r="G63" i="37"/>
  <c r="F70" i="37"/>
  <c r="C70" i="37" s="1"/>
  <c r="D75" i="37"/>
  <c r="C75" i="37" s="1"/>
  <c r="D93" i="37"/>
  <c r="C93" i="37" s="1"/>
  <c r="D111" i="37"/>
  <c r="C111" i="37" s="1"/>
  <c r="F146" i="37"/>
  <c r="C146" i="37" s="1"/>
  <c r="D151" i="37"/>
  <c r="C151" i="37" s="1"/>
  <c r="D161" i="37"/>
  <c r="C161" i="37" s="1"/>
  <c r="F196" i="37"/>
  <c r="C196" i="37" s="1"/>
  <c r="D218" i="37"/>
  <c r="C218" i="37" s="1"/>
  <c r="D241" i="37"/>
  <c r="C241" i="37" s="1"/>
  <c r="D246" i="37"/>
  <c r="C246" i="37" s="1"/>
  <c r="E311" i="37"/>
  <c r="E310" i="37" s="1"/>
  <c r="G311" i="37"/>
  <c r="G310" i="37" s="1"/>
  <c r="I311" i="37"/>
  <c r="D312" i="37"/>
  <c r="D314" i="37"/>
  <c r="C314" i="37" s="1"/>
  <c r="D334" i="37"/>
  <c r="D373" i="37"/>
  <c r="C369" i="35" l="1"/>
  <c r="C242" i="35"/>
  <c r="E242" i="35" s="1"/>
  <c r="C407" i="35"/>
  <c r="C22" i="35"/>
  <c r="C405" i="35"/>
  <c r="C427" i="35"/>
  <c r="C19" i="35"/>
  <c r="C63" i="35"/>
  <c r="C26" i="35"/>
  <c r="E26" i="35" s="1"/>
  <c r="C20" i="35"/>
  <c r="E20" i="35" s="1"/>
  <c r="C21" i="35"/>
  <c r="C409" i="35"/>
  <c r="C346" i="35"/>
  <c r="C345" i="35" s="1"/>
  <c r="C25" i="35"/>
  <c r="C266" i="35"/>
  <c r="C78" i="35"/>
  <c r="I375" i="37"/>
  <c r="C375" i="37"/>
  <c r="I310" i="37"/>
  <c r="G236" i="37"/>
  <c r="I14" i="37"/>
  <c r="C12" i="35"/>
  <c r="I212" i="37"/>
  <c r="I439" i="37"/>
  <c r="C399" i="37"/>
  <c r="D397" i="37"/>
  <c r="D22" i="37"/>
  <c r="C33" i="37"/>
  <c r="I397" i="37"/>
  <c r="I377" i="37"/>
  <c r="F214" i="37"/>
  <c r="F22" i="37"/>
  <c r="F12" i="37" s="1"/>
  <c r="F20" i="37"/>
  <c r="E212" i="37"/>
  <c r="F216" i="37"/>
  <c r="C240" i="37"/>
  <c r="G397" i="37"/>
  <c r="G376" i="37"/>
  <c r="G373" i="37" s="1"/>
  <c r="C174" i="37"/>
  <c r="D171" i="37"/>
  <c r="C171" i="37" s="1"/>
  <c r="C379" i="37"/>
  <c r="C337" i="37"/>
  <c r="C311" i="37"/>
  <c r="E463" i="37"/>
  <c r="E443" i="37"/>
  <c r="E397" i="37"/>
  <c r="E376" i="37"/>
  <c r="C316" i="37"/>
  <c r="C467" i="37"/>
  <c r="C362" i="37"/>
  <c r="E24" i="37"/>
  <c r="E14" i="37" s="1"/>
  <c r="I12" i="37"/>
  <c r="E12" i="37"/>
  <c r="C214" i="37"/>
  <c r="D24" i="37"/>
  <c r="D236" i="37"/>
  <c r="C236" i="37" s="1"/>
  <c r="D216" i="37"/>
  <c r="C312" i="37"/>
  <c r="I18" i="37"/>
  <c r="E28" i="35"/>
  <c r="C463" i="37"/>
  <c r="C529" i="37"/>
  <c r="G29" i="37"/>
  <c r="D310" i="37"/>
  <c r="D108" i="37"/>
  <c r="C108" i="37" s="1"/>
  <c r="D63" i="37"/>
  <c r="C63" i="37" s="1"/>
  <c r="I23" i="37"/>
  <c r="I60" i="37"/>
  <c r="E23" i="37"/>
  <c r="E60" i="37"/>
  <c r="D30" i="37"/>
  <c r="C30" i="37" s="1"/>
  <c r="D19" i="37"/>
  <c r="C19" i="37" s="1"/>
  <c r="I32" i="37"/>
  <c r="I27" i="37"/>
  <c r="I16" i="37"/>
  <c r="C14" i="35" s="1"/>
  <c r="E32" i="37"/>
  <c r="E27" i="37"/>
  <c r="E16" i="37"/>
  <c r="E29" i="37"/>
  <c r="G23" i="37"/>
  <c r="G60" i="37"/>
  <c r="F38" i="37"/>
  <c r="C38" i="37" s="1"/>
  <c r="F35" i="37"/>
  <c r="C35" i="37" s="1"/>
  <c r="D28" i="37"/>
  <c r="C28" i="37" s="1"/>
  <c r="D17" i="37"/>
  <c r="C17" i="37" s="1"/>
  <c r="G32" i="37"/>
  <c r="G27" i="37"/>
  <c r="G16" i="37"/>
  <c r="D32" i="37"/>
  <c r="I29" i="37"/>
  <c r="E27" i="35" s="1"/>
  <c r="C403" i="35" l="1"/>
  <c r="C18" i="35"/>
  <c r="C10" i="35"/>
  <c r="E10" i="35" s="1"/>
  <c r="C9" i="35"/>
  <c r="C13" i="35"/>
  <c r="C24" i="35"/>
  <c r="C11" i="35"/>
  <c r="I373" i="37"/>
  <c r="C24" i="37"/>
  <c r="C377" i="37"/>
  <c r="C397" i="37"/>
  <c r="F212" i="37"/>
  <c r="C22" i="37"/>
  <c r="C27" i="37"/>
  <c r="C334" i="37"/>
  <c r="E373" i="37"/>
  <c r="C373" i="37" s="1"/>
  <c r="C376" i="37"/>
  <c r="E439" i="37"/>
  <c r="C439" i="37" s="1"/>
  <c r="C443" i="37"/>
  <c r="C16" i="37"/>
  <c r="C313" i="37"/>
  <c r="D212" i="37"/>
  <c r="C216" i="37"/>
  <c r="G26" i="37"/>
  <c r="G15" i="37"/>
  <c r="G11" i="37"/>
  <c r="F29" i="37"/>
  <c r="F26" i="37" s="1"/>
  <c r="F18" i="37"/>
  <c r="C18" i="37" s="1"/>
  <c r="F32" i="37"/>
  <c r="C32" i="37" s="1"/>
  <c r="G13" i="37"/>
  <c r="G20" i="37"/>
  <c r="E15" i="37"/>
  <c r="E11" i="37"/>
  <c r="I26" i="37"/>
  <c r="D14" i="37"/>
  <c r="C14" i="37" s="1"/>
  <c r="E20" i="37"/>
  <c r="E13" i="37"/>
  <c r="I20" i="37"/>
  <c r="I13" i="37"/>
  <c r="D15" i="37"/>
  <c r="D12" i="37"/>
  <c r="E26" i="37"/>
  <c r="I15" i="37"/>
  <c r="I11" i="37"/>
  <c r="D23" i="37"/>
  <c r="C23" i="37" s="1"/>
  <c r="D60" i="37"/>
  <c r="C60" i="37" s="1"/>
  <c r="D29" i="37"/>
  <c r="C8" i="35" l="1"/>
  <c r="E11" i="35"/>
  <c r="C29" i="37"/>
  <c r="C12" i="37"/>
  <c r="C212" i="37"/>
  <c r="C310" i="37"/>
  <c r="C11" i="37"/>
  <c r="U11" i="37"/>
  <c r="U9" i="37" s="1"/>
  <c r="I10" i="37"/>
  <c r="D13" i="37"/>
  <c r="D10" i="37" s="1"/>
  <c r="D20" i="37"/>
  <c r="C20" i="37" s="1"/>
  <c r="F15" i="37"/>
  <c r="C15" i="37" s="1"/>
  <c r="F13" i="37"/>
  <c r="F10" i="37" s="1"/>
  <c r="S11" i="37" s="1"/>
  <c r="S9" i="37" s="1"/>
  <c r="G10" i="37"/>
  <c r="D26" i="37"/>
  <c r="C26" i="37" s="1"/>
  <c r="E10" i="37"/>
  <c r="R11" i="37" s="1"/>
  <c r="R9" i="37" s="1"/>
  <c r="V11" i="37" l="1"/>
  <c r="V9" i="37" s="1"/>
  <c r="C13" i="37"/>
  <c r="C10" i="37"/>
  <c r="T11" i="37"/>
  <c r="T9" i="37" s="1"/>
  <c r="Q11" i="37"/>
  <c r="Q14" i="37" l="1"/>
  <c r="Q15" i="37" s="1"/>
  <c r="Q9" i="37"/>
  <c r="E530" i="35" l="1"/>
  <c r="E554" i="35"/>
  <c r="E556" i="35"/>
  <c r="E559" i="35"/>
  <c r="E561" i="35"/>
  <c r="E564" i="35"/>
  <c r="E527" i="35"/>
  <c r="E467" i="35"/>
  <c r="E488" i="35"/>
  <c r="E491" i="35"/>
  <c r="E498" i="35"/>
  <c r="E499" i="35"/>
  <c r="E500" i="35"/>
  <c r="E501" i="35"/>
  <c r="E502" i="35"/>
  <c r="E503" i="35"/>
  <c r="E504" i="35"/>
  <c r="E505" i="35"/>
  <c r="E506" i="35"/>
  <c r="E507" i="35"/>
  <c r="E508" i="35"/>
  <c r="E509" i="35"/>
  <c r="E510" i="35"/>
  <c r="E511" i="35"/>
  <c r="E512" i="35"/>
  <c r="E513" i="35"/>
  <c r="E464" i="35"/>
  <c r="E452" i="35"/>
  <c r="E451" i="35"/>
  <c r="E450" i="35"/>
  <c r="E449" i="35"/>
  <c r="E448" i="35"/>
  <c r="E447" i="35"/>
  <c r="E446" i="35"/>
  <c r="E445" i="35"/>
  <c r="E444" i="35"/>
  <c r="E443" i="35"/>
  <c r="E442" i="35"/>
  <c r="E441" i="35"/>
  <c r="E440" i="35"/>
  <c r="E439" i="35"/>
  <c r="E438" i="35"/>
  <c r="E437" i="35"/>
  <c r="E318" i="35"/>
  <c r="E317" i="35"/>
  <c r="E316" i="35"/>
  <c r="E315" i="35"/>
  <c r="E314" i="35"/>
  <c r="E313" i="35"/>
  <c r="E312" i="35"/>
  <c r="E311" i="35"/>
  <c r="E309" i="35"/>
  <c r="E307" i="35"/>
  <c r="E297" i="35"/>
  <c r="E296" i="35"/>
  <c r="E294" i="35"/>
  <c r="E293" i="35"/>
  <c r="E292" i="35"/>
  <c r="E290" i="35"/>
  <c r="E289" i="35"/>
  <c r="E288" i="35"/>
  <c r="E286" i="35"/>
  <c r="E275" i="35"/>
  <c r="E271" i="35"/>
  <c r="E270" i="35"/>
  <c r="E269" i="35"/>
  <c r="E266" i="35"/>
  <c r="E246" i="35"/>
  <c r="E63" i="35"/>
  <c r="E66" i="35"/>
  <c r="E67" i="35"/>
  <c r="E68" i="35"/>
  <c r="E71" i="35"/>
  <c r="E78" i="35"/>
  <c r="E83" i="35"/>
  <c r="E84" i="35"/>
  <c r="E85" i="35"/>
  <c r="E86" i="35"/>
  <c r="E87" i="35"/>
  <c r="E88" i="35"/>
  <c r="E89" i="35"/>
  <c r="E90" i="35"/>
  <c r="E101" i="35"/>
  <c r="E104" i="35"/>
  <c r="E111" i="35"/>
  <c r="E114" i="35"/>
  <c r="E116" i="35"/>
  <c r="E117" i="35"/>
  <c r="E118" i="35"/>
  <c r="E119" i="35"/>
  <c r="E120" i="35"/>
  <c r="E121" i="35"/>
  <c r="E122" i="35"/>
  <c r="E123" i="35"/>
  <c r="E124" i="35"/>
  <c r="E125" i="35"/>
  <c r="E126" i="35"/>
  <c r="E127" i="35"/>
  <c r="E128" i="35"/>
  <c r="E129" i="35"/>
  <c r="E130" i="35"/>
  <c r="E131" i="35"/>
  <c r="E132" i="35"/>
  <c r="E133" i="35"/>
  <c r="E134" i="35"/>
  <c r="E135" i="35"/>
  <c r="E136" i="35"/>
  <c r="E137" i="35"/>
  <c r="E138" i="35"/>
  <c r="E139" i="35"/>
  <c r="E140" i="35"/>
  <c r="E141" i="35"/>
  <c r="E142" i="35"/>
  <c r="E143" i="35"/>
  <c r="E144" i="35"/>
  <c r="E145" i="35"/>
  <c r="E146" i="35"/>
  <c r="E147" i="35"/>
  <c r="E148" i="35"/>
  <c r="E154" i="35"/>
  <c r="E157" i="35"/>
  <c r="E164" i="35"/>
  <c r="E169" i="35"/>
  <c r="E172" i="35"/>
  <c r="E174" i="35"/>
  <c r="E177" i="35"/>
  <c r="E179" i="35"/>
  <c r="E182" i="35"/>
  <c r="E184" i="35"/>
  <c r="E187" i="35"/>
  <c r="E188" i="35"/>
  <c r="E189" i="35"/>
  <c r="E192" i="35"/>
  <c r="E194" i="35"/>
  <c r="E24" i="35"/>
  <c r="E12" i="35"/>
  <c r="E18" i="35"/>
  <c r="E21" i="35"/>
  <c r="E22" i="35"/>
  <c r="E8" i="35"/>
  <c r="B410" i="35"/>
  <c r="B411" i="35"/>
  <c r="B412" i="35"/>
  <c r="B413" i="35"/>
  <c r="B414" i="35"/>
  <c r="B415" i="35"/>
  <c r="B416" i="35"/>
  <c r="B417" i="35"/>
  <c r="B418" i="35"/>
  <c r="B419" i="35"/>
  <c r="B420" i="35"/>
  <c r="B421" i="35"/>
  <c r="B422" i="35"/>
  <c r="B423" i="35"/>
  <c r="B424" i="35"/>
  <c r="B425" i="35"/>
  <c r="B426" i="35"/>
  <c r="B427" i="35"/>
  <c r="B428" i="35"/>
  <c r="B429" i="35"/>
  <c r="B430" i="35"/>
  <c r="B431" i="35"/>
  <c r="B433" i="35"/>
  <c r="B434" i="35"/>
  <c r="B435" i="35"/>
  <c r="B436" i="35"/>
  <c r="B437" i="35"/>
  <c r="B438" i="35"/>
  <c r="B439" i="35"/>
  <c r="B440" i="35"/>
  <c r="B441" i="35"/>
  <c r="B442" i="35"/>
  <c r="B443" i="35"/>
  <c r="B444" i="35"/>
  <c r="B445" i="35"/>
  <c r="B446" i="35"/>
  <c r="B447" i="35"/>
  <c r="B448" i="35"/>
  <c r="B449" i="35"/>
  <c r="B450" i="35"/>
  <c r="B451" i="35"/>
  <c r="B452" i="35"/>
  <c r="B453" i="35"/>
  <c r="B454" i="35"/>
  <c r="B455" i="35"/>
  <c r="B456" i="35"/>
  <c r="B457" i="35"/>
  <c r="B459" i="35"/>
  <c r="B460" i="35"/>
  <c r="B461" i="35"/>
  <c r="B462" i="35"/>
  <c r="B463" i="35"/>
  <c r="B464" i="35"/>
  <c r="B465" i="35"/>
  <c r="B466" i="35"/>
  <c r="B467" i="35"/>
  <c r="B468" i="35"/>
  <c r="B469" i="35"/>
  <c r="B470" i="35"/>
  <c r="B471" i="35"/>
  <c r="B472" i="35"/>
  <c r="B473" i="35"/>
  <c r="B474" i="35"/>
  <c r="B475" i="35"/>
  <c r="B476" i="35"/>
  <c r="B477" i="35"/>
  <c r="B478" i="35"/>
  <c r="B479" i="35"/>
  <c r="B480" i="35"/>
  <c r="B481" i="35"/>
  <c r="B482" i="35"/>
  <c r="B483" i="35"/>
  <c r="B484" i="35"/>
  <c r="B485" i="35"/>
  <c r="B486" i="35"/>
  <c r="B487" i="35"/>
  <c r="B488" i="35"/>
  <c r="B489" i="35"/>
  <c r="B490" i="35"/>
  <c r="B491" i="35"/>
  <c r="B492" i="35"/>
  <c r="B494" i="35"/>
  <c r="B495" i="35"/>
  <c r="B496" i="35"/>
  <c r="B497" i="35"/>
  <c r="B498" i="35"/>
  <c r="B499" i="35"/>
  <c r="B500" i="35"/>
  <c r="B501" i="35"/>
  <c r="B502" i="35"/>
  <c r="B503" i="35"/>
  <c r="B504" i="35"/>
  <c r="B505" i="35"/>
  <c r="B506" i="35"/>
  <c r="B507" i="35"/>
  <c r="B508" i="35"/>
  <c r="B509" i="35"/>
  <c r="B510" i="35"/>
  <c r="B511" i="35"/>
  <c r="B512" i="35"/>
  <c r="B513" i="35"/>
  <c r="B514" i="35"/>
  <c r="B515" i="35"/>
  <c r="B516" i="35"/>
  <c r="B517" i="35"/>
  <c r="B518" i="35"/>
  <c r="B519" i="35"/>
  <c r="B520" i="35"/>
  <c r="B521" i="35"/>
  <c r="B522" i="35"/>
  <c r="B523" i="35"/>
  <c r="B524" i="35"/>
  <c r="B525" i="35"/>
  <c r="B526" i="35"/>
  <c r="B527" i="35"/>
  <c r="B528" i="35"/>
  <c r="B529" i="35"/>
  <c r="B530" i="35"/>
  <c r="B531" i="35"/>
  <c r="B532" i="35"/>
  <c r="B533" i="35"/>
  <c r="B534" i="35"/>
  <c r="B535" i="35"/>
  <c r="B536" i="35"/>
  <c r="B537" i="35"/>
  <c r="B538" i="35"/>
  <c r="B539" i="35"/>
  <c r="B540" i="35"/>
  <c r="B541" i="35"/>
  <c r="B542" i="35"/>
  <c r="B543" i="35"/>
  <c r="B544" i="35"/>
  <c r="B545" i="35"/>
  <c r="B546" i="35"/>
  <c r="B547" i="35"/>
  <c r="B548" i="35"/>
  <c r="B549" i="35"/>
  <c r="B550" i="35"/>
  <c r="B551" i="35"/>
  <c r="B552" i="35"/>
  <c r="B553" i="35"/>
  <c r="B554" i="35"/>
  <c r="B555" i="35"/>
  <c r="B557" i="35"/>
  <c r="B558" i="35"/>
  <c r="B559" i="35"/>
  <c r="B560" i="35"/>
  <c r="B562" i="35"/>
  <c r="B563" i="35"/>
  <c r="B564" i="35"/>
  <c r="B28" i="35"/>
  <c r="B29" i="35"/>
  <c r="B30" i="35"/>
  <c r="B31" i="35"/>
  <c r="B32" i="35"/>
  <c r="B33" i="35"/>
  <c r="B34" i="35"/>
  <c r="B35" i="35"/>
  <c r="B36" i="35"/>
  <c r="B37" i="35"/>
  <c r="B38" i="35"/>
  <c r="B39" i="35"/>
  <c r="B40" i="35"/>
  <c r="B46" i="35"/>
  <c r="B51" i="35"/>
  <c r="B52" i="35"/>
  <c r="B53" i="35"/>
  <c r="B54" i="35"/>
  <c r="B55" i="35"/>
  <c r="B56" i="35"/>
  <c r="B62" i="35"/>
  <c r="B63" i="35"/>
  <c r="B64" i="35"/>
  <c r="B65" i="35"/>
  <c r="B66" i="35"/>
  <c r="B67" i="35"/>
  <c r="B68" i="35"/>
  <c r="B69" i="35"/>
  <c r="B70" i="35"/>
  <c r="B71" i="35"/>
  <c r="B72" i="35"/>
  <c r="B73" i="35"/>
  <c r="B74" i="35"/>
  <c r="B75" i="35"/>
  <c r="B76" i="35"/>
  <c r="B77" i="35"/>
  <c r="B78" i="35"/>
  <c r="B79" i="35"/>
  <c r="B80" i="35"/>
  <c r="B81" i="35"/>
  <c r="B82" i="35"/>
  <c r="B83" i="35"/>
  <c r="B84" i="35"/>
  <c r="B85" i="35"/>
  <c r="B86" i="35"/>
  <c r="B87" i="35"/>
  <c r="B88" i="35"/>
  <c r="B89" i="35"/>
  <c r="B90" i="35"/>
  <c r="B91" i="35"/>
  <c r="B92" i="35"/>
  <c r="B93" i="35"/>
  <c r="B94" i="35"/>
  <c r="B95" i="35"/>
  <c r="B96" i="35"/>
  <c r="B97" i="35"/>
  <c r="B98" i="35"/>
  <c r="B99" i="35"/>
  <c r="B100" i="35"/>
  <c r="B101" i="35"/>
  <c r="B102" i="35"/>
  <c r="B103" i="35"/>
  <c r="B104" i="35"/>
  <c r="B105" i="35"/>
  <c r="B106" i="35"/>
  <c r="B107" i="35"/>
  <c r="B108" i="35"/>
  <c r="B109" i="35"/>
  <c r="B110" i="35"/>
  <c r="B111" i="35"/>
  <c r="B112" i="35"/>
  <c r="B113" i="35"/>
  <c r="B114" i="35"/>
  <c r="B115" i="35"/>
  <c r="B116" i="35"/>
  <c r="B117" i="35"/>
  <c r="B118" i="35"/>
  <c r="B119" i="35"/>
  <c r="B120" i="35"/>
  <c r="B121" i="35"/>
  <c r="B122" i="35"/>
  <c r="B123" i="35"/>
  <c r="B124" i="35"/>
  <c r="B125" i="35"/>
  <c r="B126" i="35"/>
  <c r="B127" i="35"/>
  <c r="B128" i="35"/>
  <c r="B129" i="35"/>
  <c r="B130" i="35"/>
  <c r="B131" i="35"/>
  <c r="B132" i="35"/>
  <c r="B133" i="35"/>
  <c r="B134" i="35"/>
  <c r="B135" i="35"/>
  <c r="B136" i="35"/>
  <c r="B137" i="35"/>
  <c r="B138" i="35"/>
  <c r="B139" i="35"/>
  <c r="B140" i="35"/>
  <c r="B141" i="35"/>
  <c r="B142" i="35"/>
  <c r="B143" i="35"/>
  <c r="B144" i="35"/>
  <c r="B145" i="35"/>
  <c r="B146" i="35"/>
  <c r="B147" i="35"/>
  <c r="B148" i="35"/>
  <c r="B149" i="35"/>
  <c r="B150" i="35"/>
  <c r="B151" i="35"/>
  <c r="B152" i="35"/>
  <c r="B153" i="35"/>
  <c r="B154" i="35"/>
  <c r="B155" i="35"/>
  <c r="B156" i="35"/>
  <c r="B157" i="35"/>
  <c r="B158" i="35"/>
  <c r="B159" i="35"/>
  <c r="B160" i="35"/>
  <c r="B161" i="35"/>
  <c r="B162" i="35"/>
  <c r="B163" i="35"/>
  <c r="B164" i="35"/>
  <c r="B165" i="35"/>
  <c r="B166" i="35"/>
  <c r="B167" i="35"/>
  <c r="B168" i="35"/>
  <c r="B169" i="35"/>
  <c r="B170" i="35"/>
  <c r="B171" i="35"/>
  <c r="B172" i="35"/>
  <c r="B173" i="35"/>
  <c r="B174" i="35"/>
  <c r="B175" i="35"/>
  <c r="B176" i="35"/>
  <c r="B177" i="35"/>
  <c r="B178" i="35"/>
  <c r="B179" i="35"/>
  <c r="B180" i="35"/>
  <c r="B181" i="35"/>
  <c r="B182" i="35"/>
  <c r="B183" i="35"/>
  <c r="B184" i="35"/>
  <c r="B185" i="35"/>
  <c r="B186" i="35"/>
  <c r="B187" i="35"/>
  <c r="B188" i="35"/>
  <c r="B189" i="35"/>
  <c r="B190" i="35"/>
  <c r="B191" i="35"/>
  <c r="B192" i="35"/>
  <c r="B193" i="35"/>
  <c r="B194" i="35"/>
  <c r="B195" i="35"/>
  <c r="B196" i="35"/>
  <c r="B197" i="35"/>
  <c r="B198" i="35"/>
  <c r="B199" i="35"/>
  <c r="B200" i="35"/>
  <c r="B201" i="35"/>
  <c r="B202" i="35"/>
  <c r="B203" i="35"/>
  <c r="B230" i="35"/>
  <c r="B231" i="35"/>
  <c r="B232" i="35"/>
  <c r="B233" i="35"/>
  <c r="B246" i="35"/>
  <c r="B247" i="35"/>
  <c r="B248" i="35"/>
  <c r="B249" i="35"/>
  <c r="B250" i="35"/>
  <c r="B251" i="35"/>
  <c r="B252" i="35"/>
  <c r="B253" i="35"/>
  <c r="B254" i="35"/>
  <c r="B255" i="35"/>
  <c r="B256" i="35"/>
  <c r="B257" i="35"/>
  <c r="B258" i="35"/>
  <c r="B259" i="35"/>
  <c r="B260" i="35"/>
  <c r="B261" i="35"/>
  <c r="B262" i="35"/>
  <c r="B263" i="35"/>
  <c r="B264" i="35"/>
  <c r="B265" i="35"/>
  <c r="B266" i="35"/>
  <c r="B267" i="35"/>
  <c r="B268" i="35"/>
  <c r="B269" i="35"/>
  <c r="B270" i="35"/>
  <c r="B272" i="35"/>
  <c r="B273" i="35"/>
  <c r="B274" i="35"/>
  <c r="B275" i="35"/>
  <c r="B276" i="35"/>
  <c r="B277" i="35"/>
  <c r="B278" i="35"/>
  <c r="B279" i="35"/>
  <c r="B280" i="35"/>
  <c r="B282" i="35"/>
  <c r="B283" i="35"/>
  <c r="B284" i="35"/>
  <c r="B285" i="35"/>
  <c r="B286" i="35"/>
  <c r="B287" i="35"/>
  <c r="B288" i="35"/>
  <c r="B289" i="35"/>
  <c r="B290" i="35"/>
  <c r="B291" i="35"/>
  <c r="B292" i="35"/>
  <c r="B293" i="35"/>
  <c r="B294" i="35"/>
  <c r="B295" i="35"/>
  <c r="B296" i="35"/>
  <c r="B297" i="35"/>
  <c r="B298" i="35"/>
  <c r="B299" i="35"/>
  <c r="B300" i="35"/>
  <c r="B301" i="35"/>
  <c r="B303" i="35"/>
  <c r="B304" i="35"/>
  <c r="B305" i="35"/>
  <c r="B306" i="35"/>
  <c r="B307" i="35"/>
  <c r="B308" i="35"/>
  <c r="B309" i="35"/>
  <c r="B310" i="35"/>
  <c r="B311" i="35"/>
  <c r="B312" i="35"/>
  <c r="B313" i="35"/>
  <c r="B314" i="35"/>
  <c r="B315" i="35"/>
  <c r="B316" i="35"/>
  <c r="B317" i="35"/>
  <c r="B318" i="35"/>
  <c r="B320" i="35"/>
  <c r="B321" i="35"/>
  <c r="B322" i="35"/>
  <c r="B323" i="35"/>
  <c r="B325" i="35"/>
  <c r="B326" i="35"/>
  <c r="B327" i="35"/>
  <c r="B328" i="35"/>
  <c r="B330" i="35"/>
  <c r="B331" i="35"/>
  <c r="B332" i="35"/>
  <c r="B333" i="35"/>
  <c r="B344" i="35"/>
  <c r="B345" i="35"/>
  <c r="B346" i="35"/>
  <c r="B347" i="35"/>
  <c r="B348" i="35"/>
  <c r="B349" i="35"/>
  <c r="B350" i="35"/>
  <c r="B351" i="35"/>
  <c r="B352" i="35"/>
  <c r="B353" i="35"/>
  <c r="B354" i="35"/>
  <c r="B355" i="35"/>
  <c r="B356" i="35"/>
  <c r="B357" i="35"/>
  <c r="B358" i="35"/>
  <c r="B359" i="35"/>
  <c r="B360" i="35"/>
  <c r="B361" i="35"/>
  <c r="B362" i="35"/>
  <c r="B363" i="35"/>
  <c r="B364" i="35"/>
  <c r="B365" i="35"/>
  <c r="B366" i="35"/>
  <c r="B367" i="35"/>
  <c r="B368" i="35"/>
  <c r="B369" i="35"/>
  <c r="B370" i="35"/>
  <c r="B371" i="35"/>
  <c r="B372" i="35"/>
  <c r="B373" i="35"/>
  <c r="B375" i="35"/>
  <c r="B376" i="35"/>
  <c r="B377" i="35"/>
  <c r="B378" i="35"/>
  <c r="B379" i="35"/>
  <c r="B380" i="35"/>
  <c r="B381" i="35"/>
  <c r="B382" i="35"/>
  <c r="B383" i="35"/>
  <c r="B384" i="35"/>
  <c r="B385" i="35"/>
  <c r="B386" i="35"/>
  <c r="B388" i="35"/>
  <c r="B389" i="35"/>
  <c r="B390" i="35"/>
  <c r="B391" i="35"/>
  <c r="B393" i="35"/>
  <c r="B394" i="35"/>
  <c r="B395" i="35"/>
  <c r="B396" i="35"/>
  <c r="B398" i="35"/>
  <c r="B399" i="35"/>
  <c r="B400" i="35"/>
  <c r="B401" i="35"/>
  <c r="B402" i="35"/>
  <c r="B403" i="35"/>
  <c r="B404" i="35"/>
  <c r="B405" i="35"/>
  <c r="B406" i="35"/>
  <c r="B407" i="35"/>
  <c r="B408" i="35"/>
  <c r="B409" i="35"/>
  <c r="A9" i="35"/>
  <c r="B9" i="35"/>
  <c r="B10" i="35"/>
  <c r="B11" i="35"/>
  <c r="B12" i="35"/>
  <c r="B13" i="35"/>
  <c r="B14" i="35"/>
  <c r="B15" i="35"/>
  <c r="B16" i="35"/>
  <c r="B17" i="35"/>
  <c r="B18" i="35"/>
  <c r="B19" i="35"/>
  <c r="B20" i="35"/>
  <c r="B21" i="35"/>
  <c r="B22" i="35"/>
  <c r="B23" i="35"/>
  <c r="B24" i="35"/>
  <c r="B25" i="35"/>
  <c r="B26" i="35"/>
  <c r="B27" i="35"/>
  <c r="B8" i="35"/>
  <c r="A8" i="35"/>
  <c r="I556" i="36"/>
  <c r="I546" i="36" s="1"/>
  <c r="I543" i="36" s="1"/>
  <c r="H556" i="36"/>
  <c r="H553" i="36" s="1"/>
  <c r="G556" i="36"/>
  <c r="G553" i="36" s="1"/>
  <c r="F556" i="36"/>
  <c r="E556" i="36"/>
  <c r="D556" i="36"/>
  <c r="C555" i="36"/>
  <c r="C554" i="36"/>
  <c r="I553" i="36"/>
  <c r="F553" i="36"/>
  <c r="E553" i="36"/>
  <c r="C552" i="36"/>
  <c r="I551" i="36"/>
  <c r="I548" i="36" s="1"/>
  <c r="H551" i="36"/>
  <c r="G551" i="36"/>
  <c r="F551" i="36"/>
  <c r="E551" i="36"/>
  <c r="D551" i="36"/>
  <c r="C550" i="36"/>
  <c r="C549" i="36"/>
  <c r="G548" i="36"/>
  <c r="F548" i="36"/>
  <c r="E548" i="36"/>
  <c r="D548" i="36"/>
  <c r="I547" i="36"/>
  <c r="H547" i="36"/>
  <c r="G547" i="36"/>
  <c r="G523" i="36" s="1"/>
  <c r="F547" i="36"/>
  <c r="C547" i="36" s="1"/>
  <c r="E547" i="36"/>
  <c r="D547" i="36"/>
  <c r="G546" i="36"/>
  <c r="G522" i="36" s="1"/>
  <c r="F546" i="36"/>
  <c r="E546" i="36"/>
  <c r="I545" i="36"/>
  <c r="H545" i="36"/>
  <c r="H521" i="36" s="1"/>
  <c r="G545" i="36"/>
  <c r="F545" i="36"/>
  <c r="E545" i="36"/>
  <c r="E543" i="36" s="1"/>
  <c r="D545" i="36"/>
  <c r="D521" i="36" s="1"/>
  <c r="I544" i="36"/>
  <c r="H544" i="36"/>
  <c r="G544" i="36"/>
  <c r="F544" i="36"/>
  <c r="E544" i="36"/>
  <c r="D544" i="36"/>
  <c r="C541" i="36"/>
  <c r="C540" i="36"/>
  <c r="C539" i="36"/>
  <c r="C538" i="36"/>
  <c r="I537" i="36"/>
  <c r="H537" i="36"/>
  <c r="G537" i="36"/>
  <c r="F537" i="36"/>
  <c r="E537" i="36"/>
  <c r="D537" i="36"/>
  <c r="C535" i="36"/>
  <c r="C534" i="36"/>
  <c r="C533" i="36"/>
  <c r="C532" i="36"/>
  <c r="I531" i="36"/>
  <c r="H531" i="36"/>
  <c r="G531" i="36"/>
  <c r="F531" i="36"/>
  <c r="E531" i="36"/>
  <c r="D531" i="36"/>
  <c r="I529" i="36"/>
  <c r="H529" i="36"/>
  <c r="H525" i="36" s="1"/>
  <c r="G529" i="36"/>
  <c r="F529" i="36"/>
  <c r="F523" i="36" s="1"/>
  <c r="E529" i="36"/>
  <c r="D529" i="36"/>
  <c r="I528" i="36"/>
  <c r="H528" i="36"/>
  <c r="G528" i="36"/>
  <c r="F528" i="36"/>
  <c r="F522" i="36" s="1"/>
  <c r="E528" i="36"/>
  <c r="D528" i="36"/>
  <c r="I527" i="36"/>
  <c r="I525" i="36" s="1"/>
  <c r="H527" i="36"/>
  <c r="G527" i="36"/>
  <c r="F527" i="36"/>
  <c r="E527" i="36"/>
  <c r="E525" i="36" s="1"/>
  <c r="D527" i="36"/>
  <c r="I526" i="36"/>
  <c r="H526" i="36"/>
  <c r="G526" i="36"/>
  <c r="G520" i="36" s="1"/>
  <c r="F526" i="36"/>
  <c r="F520" i="36" s="1"/>
  <c r="E526" i="36"/>
  <c r="D526" i="36"/>
  <c r="C526" i="36"/>
  <c r="G525" i="36"/>
  <c r="I523" i="36"/>
  <c r="E523" i="36"/>
  <c r="D523" i="36"/>
  <c r="E522" i="36"/>
  <c r="I521" i="36"/>
  <c r="F521" i="36"/>
  <c r="I520" i="36"/>
  <c r="H520" i="36"/>
  <c r="E520" i="36"/>
  <c r="C517" i="36"/>
  <c r="C516" i="36"/>
  <c r="C515" i="36"/>
  <c r="I514" i="36"/>
  <c r="H514" i="36"/>
  <c r="G514" i="36"/>
  <c r="F514" i="36"/>
  <c r="E514" i="36"/>
  <c r="D514" i="36"/>
  <c r="C514" i="36" s="1"/>
  <c r="C513" i="36"/>
  <c r="C512" i="36"/>
  <c r="C511" i="36"/>
  <c r="I510" i="36"/>
  <c r="H510" i="36"/>
  <c r="G510" i="36"/>
  <c r="F510" i="36"/>
  <c r="E510" i="36"/>
  <c r="D510" i="36"/>
  <c r="C510" i="36" s="1"/>
  <c r="C509" i="36"/>
  <c r="C508" i="36"/>
  <c r="C507" i="36"/>
  <c r="I506" i="36"/>
  <c r="H506" i="36"/>
  <c r="G506" i="36"/>
  <c r="F506" i="36"/>
  <c r="E506" i="36"/>
  <c r="D506" i="36"/>
  <c r="I505" i="36"/>
  <c r="H505" i="36"/>
  <c r="G505" i="36"/>
  <c r="G457" i="36" s="1"/>
  <c r="G433" i="36" s="1"/>
  <c r="F505" i="36"/>
  <c r="E505" i="36"/>
  <c r="D505" i="36"/>
  <c r="C505" i="36" s="1"/>
  <c r="I504" i="36"/>
  <c r="I456" i="36" s="1"/>
  <c r="H504" i="36"/>
  <c r="G504" i="36"/>
  <c r="F504" i="36"/>
  <c r="F501" i="36" s="1"/>
  <c r="E504" i="36"/>
  <c r="E456" i="36" s="1"/>
  <c r="D504" i="36"/>
  <c r="I503" i="36"/>
  <c r="I501" i="36" s="1"/>
  <c r="H503" i="36"/>
  <c r="G503" i="36"/>
  <c r="F503" i="36"/>
  <c r="E503" i="36"/>
  <c r="D503" i="36"/>
  <c r="C502" i="36"/>
  <c r="H501" i="36"/>
  <c r="G501" i="36"/>
  <c r="C500" i="36"/>
  <c r="C499" i="36"/>
  <c r="C498" i="36"/>
  <c r="C497" i="36"/>
  <c r="C496" i="36" s="1"/>
  <c r="I496" i="36"/>
  <c r="H496" i="36"/>
  <c r="G496" i="36"/>
  <c r="F496" i="36"/>
  <c r="E496" i="36"/>
  <c r="D496" i="36"/>
  <c r="C495" i="36"/>
  <c r="C494" i="36"/>
  <c r="C493" i="36"/>
  <c r="I492" i="36"/>
  <c r="H492" i="36"/>
  <c r="G492" i="36"/>
  <c r="F492" i="36"/>
  <c r="E492" i="36"/>
  <c r="D492" i="36"/>
  <c r="C492" i="36" s="1"/>
  <c r="C491" i="36"/>
  <c r="D490" i="36"/>
  <c r="C490" i="36" s="1"/>
  <c r="C489" i="36"/>
  <c r="I488" i="36"/>
  <c r="H488" i="36"/>
  <c r="G488" i="36"/>
  <c r="F488" i="36"/>
  <c r="E488" i="36"/>
  <c r="D488" i="36"/>
  <c r="C487" i="36"/>
  <c r="C486" i="36"/>
  <c r="C485" i="36"/>
  <c r="I484" i="36"/>
  <c r="H484" i="36"/>
  <c r="G484" i="36"/>
  <c r="F484" i="36"/>
  <c r="E484" i="36"/>
  <c r="D484" i="36"/>
  <c r="I483" i="36"/>
  <c r="H483" i="36"/>
  <c r="H457" i="36" s="1"/>
  <c r="G483" i="36"/>
  <c r="F483" i="36"/>
  <c r="E483" i="36"/>
  <c r="D483" i="36"/>
  <c r="I482" i="36"/>
  <c r="H482" i="36"/>
  <c r="H479" i="36" s="1"/>
  <c r="G482" i="36"/>
  <c r="G479" i="36" s="1"/>
  <c r="F482" i="36"/>
  <c r="E482" i="36"/>
  <c r="D482" i="36"/>
  <c r="I481" i="36"/>
  <c r="H481" i="36"/>
  <c r="G481" i="36"/>
  <c r="F481" i="36"/>
  <c r="E481" i="36"/>
  <c r="C481" i="36" s="1"/>
  <c r="D481" i="36"/>
  <c r="C480" i="36"/>
  <c r="I479" i="36"/>
  <c r="C478" i="36"/>
  <c r="C477" i="36"/>
  <c r="C476" i="36"/>
  <c r="C474" i="36"/>
  <c r="C473" i="36"/>
  <c r="C472" i="36"/>
  <c r="C470" i="36"/>
  <c r="C469" i="36"/>
  <c r="C468" i="36"/>
  <c r="C466" i="36"/>
  <c r="C465" i="36"/>
  <c r="C464" i="36"/>
  <c r="C462" i="36"/>
  <c r="C461" i="36"/>
  <c r="C460" i="36"/>
  <c r="C459" i="36"/>
  <c r="I457" i="36"/>
  <c r="F457" i="36"/>
  <c r="F433" i="36" s="1"/>
  <c r="E457" i="36"/>
  <c r="H456" i="36"/>
  <c r="D456" i="36"/>
  <c r="G455" i="36"/>
  <c r="F455" i="36"/>
  <c r="D455" i="36"/>
  <c r="D431" i="36" s="1"/>
  <c r="C454" i="36"/>
  <c r="C451" i="36"/>
  <c r="C450" i="36"/>
  <c r="C449" i="36"/>
  <c r="C448" i="36"/>
  <c r="I447" i="36"/>
  <c r="H447" i="36"/>
  <c r="G447" i="36"/>
  <c r="F447" i="36"/>
  <c r="E447" i="36"/>
  <c r="D447" i="36"/>
  <c r="C445" i="36"/>
  <c r="C444" i="36"/>
  <c r="C443" i="36"/>
  <c r="C442" i="36"/>
  <c r="I441" i="36"/>
  <c r="H441" i="36"/>
  <c r="G441" i="36"/>
  <c r="F441" i="36"/>
  <c r="E441" i="36"/>
  <c r="D441" i="36"/>
  <c r="C441" i="36" s="1"/>
  <c r="I439" i="36"/>
  <c r="I433" i="36" s="1"/>
  <c r="H439" i="36"/>
  <c r="G439" i="36"/>
  <c r="F439" i="36"/>
  <c r="E439" i="36"/>
  <c r="C439" i="36" s="1"/>
  <c r="D439" i="36"/>
  <c r="I438" i="36"/>
  <c r="H438" i="36"/>
  <c r="H435" i="36" s="1"/>
  <c r="G438" i="36"/>
  <c r="F438" i="36"/>
  <c r="E438" i="36"/>
  <c r="D438" i="36"/>
  <c r="I437" i="36"/>
  <c r="H437" i="36"/>
  <c r="G437" i="36"/>
  <c r="G435" i="36" s="1"/>
  <c r="F437" i="36"/>
  <c r="E437" i="36"/>
  <c r="D437" i="36"/>
  <c r="I436" i="36"/>
  <c r="H436" i="36"/>
  <c r="H430" i="36" s="1"/>
  <c r="G436" i="36"/>
  <c r="G430" i="36" s="1"/>
  <c r="F436" i="36"/>
  <c r="F430" i="36" s="1"/>
  <c r="E436" i="36"/>
  <c r="E430" i="36" s="1"/>
  <c r="D436" i="36"/>
  <c r="E435" i="36"/>
  <c r="H433" i="36"/>
  <c r="D432" i="36"/>
  <c r="G431" i="36"/>
  <c r="I430" i="36"/>
  <c r="C427" i="36"/>
  <c r="C426" i="36"/>
  <c r="C425" i="36"/>
  <c r="C424" i="36"/>
  <c r="I423" i="36"/>
  <c r="H423" i="36"/>
  <c r="G423" i="36"/>
  <c r="F423" i="36"/>
  <c r="E423" i="36"/>
  <c r="D423" i="36"/>
  <c r="C422" i="36"/>
  <c r="I421" i="36"/>
  <c r="H421" i="36"/>
  <c r="H418" i="36" s="1"/>
  <c r="G421" i="36"/>
  <c r="F421" i="36"/>
  <c r="F418" i="36" s="1"/>
  <c r="E421" i="36"/>
  <c r="E418" i="36" s="1"/>
  <c r="D421" i="36"/>
  <c r="C420" i="36"/>
  <c r="C419" i="36"/>
  <c r="I418" i="36"/>
  <c r="G418" i="36"/>
  <c r="C417" i="36"/>
  <c r="C416" i="36"/>
  <c r="C415" i="36"/>
  <c r="C414" i="36"/>
  <c r="I413" i="36"/>
  <c r="H413" i="36"/>
  <c r="G413" i="36"/>
  <c r="F413" i="36"/>
  <c r="E413" i="36"/>
  <c r="D413" i="36"/>
  <c r="C412" i="36"/>
  <c r="C411" i="36"/>
  <c r="C410" i="36"/>
  <c r="I409" i="36"/>
  <c r="H409" i="36"/>
  <c r="G409" i="36"/>
  <c r="F409" i="36"/>
  <c r="E409" i="36"/>
  <c r="D409" i="36"/>
  <c r="C409" i="36" s="1"/>
  <c r="C408" i="36"/>
  <c r="C407" i="36"/>
  <c r="C406" i="36"/>
  <c r="I405" i="36"/>
  <c r="H405" i="36"/>
  <c r="G405" i="36"/>
  <c r="F405" i="36"/>
  <c r="E405" i="36"/>
  <c r="D405" i="36"/>
  <c r="C404" i="36"/>
  <c r="C403" i="36"/>
  <c r="C402" i="36"/>
  <c r="C401" i="36"/>
  <c r="C400" i="36"/>
  <c r="C399" i="36"/>
  <c r="C398" i="36"/>
  <c r="I397" i="36"/>
  <c r="H397" i="36"/>
  <c r="G397" i="36"/>
  <c r="F397" i="36"/>
  <c r="E397" i="36"/>
  <c r="D397" i="36"/>
  <c r="C397" i="36"/>
  <c r="I396" i="36"/>
  <c r="I391" i="36" s="1"/>
  <c r="H396" i="36"/>
  <c r="G396" i="36"/>
  <c r="F396" i="36"/>
  <c r="E396" i="36"/>
  <c r="E391" i="36" s="1"/>
  <c r="D396" i="36"/>
  <c r="I395" i="36"/>
  <c r="H395" i="36"/>
  <c r="H390" i="36" s="1"/>
  <c r="G395" i="36"/>
  <c r="E395" i="36"/>
  <c r="D395" i="36"/>
  <c r="I394" i="36"/>
  <c r="I389" i="36" s="1"/>
  <c r="H394" i="36"/>
  <c r="G394" i="36"/>
  <c r="G389" i="36" s="1"/>
  <c r="F394" i="36"/>
  <c r="E394" i="36"/>
  <c r="E389" i="36" s="1"/>
  <c r="D394" i="36"/>
  <c r="C393" i="36"/>
  <c r="E392" i="36"/>
  <c r="H391" i="36"/>
  <c r="H367" i="36" s="1"/>
  <c r="G391" i="36"/>
  <c r="F391" i="36"/>
  <c r="G390" i="36"/>
  <c r="E390" i="36"/>
  <c r="H389" i="36"/>
  <c r="F389" i="36"/>
  <c r="I388" i="36"/>
  <c r="H388" i="36"/>
  <c r="G388" i="36"/>
  <c r="F388" i="36"/>
  <c r="E388" i="36"/>
  <c r="D388" i="36"/>
  <c r="C388" i="36" s="1"/>
  <c r="C385" i="36"/>
  <c r="C384" i="36"/>
  <c r="C383" i="36"/>
  <c r="C382" i="36"/>
  <c r="I381" i="36"/>
  <c r="H381" i="36"/>
  <c r="G381" i="36"/>
  <c r="F381" i="36"/>
  <c r="E381" i="36"/>
  <c r="D381" i="36"/>
  <c r="C381" i="36" s="1"/>
  <c r="C379" i="36"/>
  <c r="C378" i="36"/>
  <c r="C377" i="36"/>
  <c r="C376" i="36"/>
  <c r="I375" i="36"/>
  <c r="H375" i="36"/>
  <c r="G375" i="36"/>
  <c r="F375" i="36"/>
  <c r="E375" i="36"/>
  <c r="D375" i="36"/>
  <c r="I373" i="36"/>
  <c r="H373" i="36"/>
  <c r="G373" i="36"/>
  <c r="F373" i="36"/>
  <c r="E373" i="36"/>
  <c r="E367" i="36" s="1"/>
  <c r="D373" i="36"/>
  <c r="C373" i="36"/>
  <c r="I372" i="36"/>
  <c r="H372" i="36"/>
  <c r="G372" i="36"/>
  <c r="F372" i="36"/>
  <c r="E372" i="36"/>
  <c r="D372" i="36"/>
  <c r="I371" i="36"/>
  <c r="H371" i="36"/>
  <c r="H365" i="36" s="1"/>
  <c r="G371" i="36"/>
  <c r="F371" i="36"/>
  <c r="E371" i="36"/>
  <c r="D371" i="36"/>
  <c r="I370" i="36"/>
  <c r="H370" i="36"/>
  <c r="G370" i="36"/>
  <c r="F370" i="36"/>
  <c r="E370" i="36"/>
  <c r="D370" i="36"/>
  <c r="F367" i="36"/>
  <c r="G366" i="36"/>
  <c r="C364" i="36"/>
  <c r="C361" i="36"/>
  <c r="I360" i="36"/>
  <c r="I357" i="36" s="1"/>
  <c r="G360" i="36"/>
  <c r="C360" i="36" s="1"/>
  <c r="C359" i="36"/>
  <c r="C358" i="36"/>
  <c r="H357" i="36"/>
  <c r="F357" i="36"/>
  <c r="E357" i="36"/>
  <c r="D357" i="36"/>
  <c r="C356" i="36"/>
  <c r="I355" i="36"/>
  <c r="H355" i="36"/>
  <c r="G355" i="36"/>
  <c r="C355" i="36" s="1"/>
  <c r="C354" i="36"/>
  <c r="C353" i="36"/>
  <c r="I352" i="36"/>
  <c r="C352" i="36" s="1"/>
  <c r="H352" i="36"/>
  <c r="G352" i="36"/>
  <c r="F352" i="36"/>
  <c r="E352" i="36"/>
  <c r="D352" i="36"/>
  <c r="C351" i="36"/>
  <c r="I350" i="36"/>
  <c r="I347" i="36" s="1"/>
  <c r="H350" i="36"/>
  <c r="H347" i="36" s="1"/>
  <c r="G350" i="36"/>
  <c r="C349" i="36"/>
  <c r="C348" i="36"/>
  <c r="F347" i="36"/>
  <c r="E347" i="36"/>
  <c r="D347" i="36"/>
  <c r="C346" i="36"/>
  <c r="I345" i="36"/>
  <c r="I342" i="36" s="1"/>
  <c r="G345" i="36"/>
  <c r="C344" i="36"/>
  <c r="C343" i="36"/>
  <c r="H342" i="36"/>
  <c r="G342" i="36"/>
  <c r="F342" i="36"/>
  <c r="E342" i="36"/>
  <c r="D342" i="36"/>
  <c r="C341" i="36"/>
  <c r="C340" i="36"/>
  <c r="C339" i="36"/>
  <c r="I338" i="36"/>
  <c r="H338" i="36"/>
  <c r="G338" i="36"/>
  <c r="F338" i="36"/>
  <c r="E338" i="36"/>
  <c r="D338" i="36"/>
  <c r="C337" i="36"/>
  <c r="C336" i="36"/>
  <c r="C335" i="36"/>
  <c r="I334" i="36"/>
  <c r="H334" i="36"/>
  <c r="G334" i="36"/>
  <c r="F334" i="36"/>
  <c r="E334" i="36"/>
  <c r="D334" i="36"/>
  <c r="C333" i="36"/>
  <c r="H332" i="36"/>
  <c r="H329" i="36" s="1"/>
  <c r="G332" i="36"/>
  <c r="C331" i="36"/>
  <c r="C330" i="36"/>
  <c r="I329" i="36"/>
  <c r="F329" i="36"/>
  <c r="E329" i="36"/>
  <c r="D329" i="36"/>
  <c r="I328" i="36"/>
  <c r="H328" i="36"/>
  <c r="G328" i="36"/>
  <c r="F328" i="36"/>
  <c r="E328" i="36"/>
  <c r="D328" i="36"/>
  <c r="I327" i="36"/>
  <c r="I303" i="36" s="1"/>
  <c r="H327" i="36"/>
  <c r="G327" i="36"/>
  <c r="C327" i="36" s="1"/>
  <c r="F327" i="36"/>
  <c r="E327" i="36"/>
  <c r="D327" i="36"/>
  <c r="I326" i="36"/>
  <c r="H326" i="36"/>
  <c r="G326" i="36"/>
  <c r="F326" i="36"/>
  <c r="F302" i="36" s="1"/>
  <c r="E326" i="36"/>
  <c r="D326" i="36"/>
  <c r="I325" i="36"/>
  <c r="H325" i="36"/>
  <c r="G325" i="36"/>
  <c r="F325" i="36"/>
  <c r="E325" i="36"/>
  <c r="E324" i="36" s="1"/>
  <c r="D325" i="36"/>
  <c r="D324" i="36"/>
  <c r="C322" i="36"/>
  <c r="C321" i="36"/>
  <c r="C320" i="36"/>
  <c r="C319" i="36"/>
  <c r="I318" i="36"/>
  <c r="H318" i="36"/>
  <c r="G318" i="36"/>
  <c r="F318" i="36"/>
  <c r="C318" i="36" s="1"/>
  <c r="E318" i="36"/>
  <c r="D318" i="36"/>
  <c r="C316" i="36"/>
  <c r="C315" i="36"/>
  <c r="C314" i="36"/>
  <c r="C313" i="36"/>
  <c r="I312" i="36"/>
  <c r="H312" i="36"/>
  <c r="G312" i="36"/>
  <c r="F312" i="36"/>
  <c r="E312" i="36"/>
  <c r="D312" i="36"/>
  <c r="I310" i="36"/>
  <c r="H310" i="36"/>
  <c r="H304" i="36" s="1"/>
  <c r="G310" i="36"/>
  <c r="G304" i="36" s="1"/>
  <c r="F310" i="36"/>
  <c r="E310" i="36"/>
  <c r="E304" i="36" s="1"/>
  <c r="D310" i="36"/>
  <c r="I309" i="36"/>
  <c r="H309" i="36"/>
  <c r="G309" i="36"/>
  <c r="G303" i="36" s="1"/>
  <c r="F309" i="36"/>
  <c r="F303" i="36" s="1"/>
  <c r="E309" i="36"/>
  <c r="E303" i="36" s="1"/>
  <c r="D309" i="36"/>
  <c r="I308" i="36"/>
  <c r="I302" i="36" s="1"/>
  <c r="H308" i="36"/>
  <c r="G308" i="36"/>
  <c r="F308" i="36"/>
  <c r="E308" i="36"/>
  <c r="E302" i="36" s="1"/>
  <c r="D308" i="36"/>
  <c r="I307" i="36"/>
  <c r="I301" i="36" s="1"/>
  <c r="H307" i="36"/>
  <c r="G307" i="36"/>
  <c r="F307" i="36"/>
  <c r="E307" i="36"/>
  <c r="D307" i="36"/>
  <c r="F304" i="36"/>
  <c r="D304" i="36"/>
  <c r="G301" i="36"/>
  <c r="E301" i="36"/>
  <c r="C298" i="36"/>
  <c r="C297" i="36"/>
  <c r="C296" i="36"/>
  <c r="C295" i="36"/>
  <c r="I294" i="36"/>
  <c r="H294" i="36"/>
  <c r="G294" i="36"/>
  <c r="F294" i="36"/>
  <c r="E294" i="36"/>
  <c r="D294" i="36"/>
  <c r="C294" i="36" s="1"/>
  <c r="I293" i="36"/>
  <c r="I289" i="36" s="1"/>
  <c r="H293" i="36"/>
  <c r="G293" i="36"/>
  <c r="F293" i="36"/>
  <c r="I292" i="36"/>
  <c r="H292" i="36"/>
  <c r="G292" i="36"/>
  <c r="G289" i="36" s="1"/>
  <c r="E292" i="36"/>
  <c r="C291" i="36"/>
  <c r="C290" i="36"/>
  <c r="D289" i="36"/>
  <c r="C288" i="36"/>
  <c r="E287" i="36"/>
  <c r="C287" i="36" s="1"/>
  <c r="C286" i="36"/>
  <c r="C285" i="36"/>
  <c r="I284" i="36"/>
  <c r="H284" i="36"/>
  <c r="G284" i="36"/>
  <c r="F284" i="36"/>
  <c r="D284" i="36"/>
  <c r="C283" i="36"/>
  <c r="C282" i="36"/>
  <c r="C281" i="36"/>
  <c r="I280" i="36"/>
  <c r="G280" i="36"/>
  <c r="E280" i="36"/>
  <c r="D280" i="36"/>
  <c r="C280" i="36"/>
  <c r="C279" i="36"/>
  <c r="C278" i="36"/>
  <c r="C277" i="36"/>
  <c r="I276" i="36"/>
  <c r="H276" i="36"/>
  <c r="G276" i="36"/>
  <c r="D276" i="36"/>
  <c r="C276" i="36"/>
  <c r="C275" i="36"/>
  <c r="D274" i="36"/>
  <c r="C273" i="36"/>
  <c r="I272" i="36"/>
  <c r="H272" i="36"/>
  <c r="G272" i="36"/>
  <c r="F272" i="36"/>
  <c r="E272" i="36"/>
  <c r="I271" i="36"/>
  <c r="I267" i="36" s="1"/>
  <c r="H271" i="36"/>
  <c r="H267" i="36" s="1"/>
  <c r="G271" i="36"/>
  <c r="G235" i="36" s="1"/>
  <c r="G211" i="36" s="1"/>
  <c r="F271" i="36"/>
  <c r="E271" i="36"/>
  <c r="D271" i="36"/>
  <c r="I270" i="36"/>
  <c r="H270" i="36"/>
  <c r="G270" i="36"/>
  <c r="F270" i="36"/>
  <c r="F234" i="36" s="1"/>
  <c r="F210" i="36" s="1"/>
  <c r="E270" i="36"/>
  <c r="I269" i="36"/>
  <c r="H269" i="36"/>
  <c r="G269" i="36"/>
  <c r="F269" i="36"/>
  <c r="F233" i="36" s="1"/>
  <c r="F209" i="36" s="1"/>
  <c r="E269" i="36"/>
  <c r="E233" i="36" s="1"/>
  <c r="E209" i="36" s="1"/>
  <c r="D269" i="36"/>
  <c r="C269" i="36" s="1"/>
  <c r="C268" i="36"/>
  <c r="E267" i="36"/>
  <c r="C266" i="36"/>
  <c r="C265" i="36"/>
  <c r="C264" i="36"/>
  <c r="I263" i="36"/>
  <c r="H263" i="36"/>
  <c r="G263" i="36"/>
  <c r="F263" i="36"/>
  <c r="E263" i="36"/>
  <c r="D263" i="36"/>
  <c r="C262" i="36"/>
  <c r="C261" i="36"/>
  <c r="C260" i="36"/>
  <c r="I259" i="36"/>
  <c r="H259" i="36"/>
  <c r="G259" i="36"/>
  <c r="F259" i="36"/>
  <c r="E259" i="36"/>
  <c r="D259" i="36"/>
  <c r="C258" i="36"/>
  <c r="C257" i="36"/>
  <c r="C256" i="36"/>
  <c r="I255" i="36"/>
  <c r="H255" i="36"/>
  <c r="G255" i="36"/>
  <c r="F255" i="36"/>
  <c r="E255" i="36"/>
  <c r="D255" i="36"/>
  <c r="C254" i="36"/>
  <c r="C253" i="36"/>
  <c r="C252" i="36"/>
  <c r="I251" i="36"/>
  <c r="H251" i="36"/>
  <c r="G251" i="36"/>
  <c r="F251" i="36"/>
  <c r="E251" i="36"/>
  <c r="D251" i="36"/>
  <c r="C251" i="36" s="1"/>
  <c r="I250" i="36"/>
  <c r="I246" i="36" s="1"/>
  <c r="H250" i="36"/>
  <c r="G250" i="36"/>
  <c r="F250" i="36"/>
  <c r="C250" i="36" s="1"/>
  <c r="I249" i="36"/>
  <c r="H249" i="36"/>
  <c r="G249" i="36"/>
  <c r="G246" i="36" s="1"/>
  <c r="F249" i="36"/>
  <c r="E249" i="36"/>
  <c r="E234" i="36" s="1"/>
  <c r="E231" i="36" s="1"/>
  <c r="D249" i="36"/>
  <c r="C248" i="36"/>
  <c r="C247" i="36"/>
  <c r="E246" i="36"/>
  <c r="C245" i="36"/>
  <c r="F244" i="36"/>
  <c r="D244" i="36"/>
  <c r="D239" i="36" s="1"/>
  <c r="D236" i="36" s="1"/>
  <c r="C243" i="36"/>
  <c r="C242" i="36"/>
  <c r="I241" i="36"/>
  <c r="H241" i="36"/>
  <c r="G241" i="36"/>
  <c r="F241" i="36"/>
  <c r="E241" i="36"/>
  <c r="I240" i="36"/>
  <c r="I235" i="36" s="1"/>
  <c r="I211" i="36" s="1"/>
  <c r="H240" i="36"/>
  <c r="G240" i="36"/>
  <c r="F240" i="36"/>
  <c r="F235" i="36" s="1"/>
  <c r="F211" i="36" s="1"/>
  <c r="E240" i="36"/>
  <c r="I239" i="36"/>
  <c r="H239" i="36"/>
  <c r="H234" i="36" s="1"/>
  <c r="H210" i="36" s="1"/>
  <c r="G239" i="36"/>
  <c r="F239" i="36"/>
  <c r="E239" i="36"/>
  <c r="C238" i="36"/>
  <c r="C237" i="36"/>
  <c r="F236" i="36"/>
  <c r="E235" i="36"/>
  <c r="E211" i="36" s="1"/>
  <c r="D235" i="36"/>
  <c r="I233" i="36"/>
  <c r="H233" i="36"/>
  <c r="H209" i="36" s="1"/>
  <c r="G233" i="36"/>
  <c r="I232" i="36"/>
  <c r="H232" i="36"/>
  <c r="G232" i="36"/>
  <c r="F232" i="36"/>
  <c r="E232" i="36"/>
  <c r="D232" i="36"/>
  <c r="C229" i="36"/>
  <c r="C228" i="36"/>
  <c r="C227" i="36"/>
  <c r="C226" i="36"/>
  <c r="I225" i="36"/>
  <c r="H225" i="36"/>
  <c r="G225" i="36"/>
  <c r="F225" i="36"/>
  <c r="E225" i="36"/>
  <c r="D225" i="36"/>
  <c r="C223" i="36"/>
  <c r="C222" i="36"/>
  <c r="C221" i="36"/>
  <c r="C220" i="36"/>
  <c r="I219" i="36"/>
  <c r="H219" i="36"/>
  <c r="G219" i="36"/>
  <c r="F219" i="36"/>
  <c r="C219" i="36" s="1"/>
  <c r="E219" i="36"/>
  <c r="D219" i="36"/>
  <c r="I217" i="36"/>
  <c r="I19" i="36" s="1"/>
  <c r="H217" i="36"/>
  <c r="G217" i="36"/>
  <c r="F217" i="36"/>
  <c r="E217" i="36"/>
  <c r="D217" i="36"/>
  <c r="I216" i="36"/>
  <c r="H216" i="36"/>
  <c r="G216" i="36"/>
  <c r="F216" i="36"/>
  <c r="E216" i="36"/>
  <c r="D216" i="36"/>
  <c r="C216" i="36" s="1"/>
  <c r="I215" i="36"/>
  <c r="H215" i="36"/>
  <c r="G215" i="36"/>
  <c r="F215" i="36"/>
  <c r="F213" i="36" s="1"/>
  <c r="E215" i="36"/>
  <c r="D215" i="36"/>
  <c r="I214" i="36"/>
  <c r="H214" i="36"/>
  <c r="G214" i="36"/>
  <c r="F214" i="36"/>
  <c r="E214" i="36"/>
  <c r="D214" i="36"/>
  <c r="C214" i="36" s="1"/>
  <c r="H213" i="36"/>
  <c r="D211" i="36"/>
  <c r="E210" i="36"/>
  <c r="I209" i="36"/>
  <c r="G209" i="36"/>
  <c r="C208" i="36"/>
  <c r="E207" i="36"/>
  <c r="C205" i="36"/>
  <c r="C204" i="36"/>
  <c r="C203" i="36"/>
  <c r="C202" i="36"/>
  <c r="I201" i="36"/>
  <c r="H201" i="36"/>
  <c r="G201" i="36"/>
  <c r="F201" i="36"/>
  <c r="E201" i="36"/>
  <c r="D201" i="36"/>
  <c r="C200" i="36"/>
  <c r="F199" i="36"/>
  <c r="C199" i="36" s="1"/>
  <c r="C198" i="36"/>
  <c r="C197" i="36"/>
  <c r="I196" i="36"/>
  <c r="H196" i="36"/>
  <c r="G196" i="36"/>
  <c r="E196" i="36"/>
  <c r="D196" i="36"/>
  <c r="C195" i="36"/>
  <c r="I194" i="36"/>
  <c r="I191" i="36" s="1"/>
  <c r="H194" i="36"/>
  <c r="H191" i="36" s="1"/>
  <c r="G194" i="36"/>
  <c r="F194" i="36"/>
  <c r="C193" i="36"/>
  <c r="C192" i="36"/>
  <c r="G191" i="36"/>
  <c r="E191" i="36"/>
  <c r="D191" i="36"/>
  <c r="C190" i="36"/>
  <c r="E189" i="36"/>
  <c r="C189" i="36" s="1"/>
  <c r="C188" i="36"/>
  <c r="C187" i="36"/>
  <c r="I186" i="36"/>
  <c r="H186" i="36"/>
  <c r="G186" i="36"/>
  <c r="C186" i="36" s="1"/>
  <c r="F186" i="36"/>
  <c r="E186" i="36"/>
  <c r="D186" i="36"/>
  <c r="I185" i="36"/>
  <c r="I181" i="36" s="1"/>
  <c r="H185" i="36"/>
  <c r="G185" i="36"/>
  <c r="F185" i="36"/>
  <c r="E185" i="36"/>
  <c r="I184" i="36"/>
  <c r="H184" i="36"/>
  <c r="H181" i="36" s="1"/>
  <c r="G184" i="36"/>
  <c r="G181" i="36" s="1"/>
  <c r="F184" i="36"/>
  <c r="D184" i="36"/>
  <c r="C183" i="36"/>
  <c r="C182" i="36"/>
  <c r="C180" i="36"/>
  <c r="D179" i="36"/>
  <c r="C179" i="36" s="1"/>
  <c r="C178" i="36"/>
  <c r="C177" i="36"/>
  <c r="I176" i="36"/>
  <c r="H176" i="36"/>
  <c r="G176" i="36"/>
  <c r="F176" i="36"/>
  <c r="E176" i="36"/>
  <c r="I175" i="36"/>
  <c r="I171" i="36" s="1"/>
  <c r="H175" i="36"/>
  <c r="G175" i="36"/>
  <c r="G171" i="36" s="1"/>
  <c r="F175" i="36"/>
  <c r="E175" i="36"/>
  <c r="I174" i="36"/>
  <c r="H174" i="36"/>
  <c r="H171" i="36" s="1"/>
  <c r="G174" i="36"/>
  <c r="F174" i="36"/>
  <c r="E174" i="36"/>
  <c r="E171" i="36" s="1"/>
  <c r="C173" i="36"/>
  <c r="C172" i="36"/>
  <c r="C170" i="36"/>
  <c r="F169" i="36"/>
  <c r="C169" i="36" s="1"/>
  <c r="C168" i="36"/>
  <c r="C167" i="36"/>
  <c r="I166" i="36"/>
  <c r="H166" i="36"/>
  <c r="G166" i="36"/>
  <c r="E166" i="36"/>
  <c r="D166" i="36"/>
  <c r="I165" i="36"/>
  <c r="H165" i="36"/>
  <c r="H161" i="36" s="1"/>
  <c r="G165" i="36"/>
  <c r="F165" i="36"/>
  <c r="E165" i="36"/>
  <c r="D165" i="36"/>
  <c r="D161" i="36" s="1"/>
  <c r="I164" i="36"/>
  <c r="H164" i="36"/>
  <c r="G164" i="36"/>
  <c r="G161" i="36" s="1"/>
  <c r="F164" i="36"/>
  <c r="F161" i="36" s="1"/>
  <c r="E164" i="36"/>
  <c r="E161" i="36" s="1"/>
  <c r="D164" i="36"/>
  <c r="C163" i="36"/>
  <c r="C162" i="36"/>
  <c r="C160" i="36"/>
  <c r="C159" i="36"/>
  <c r="C158" i="36"/>
  <c r="C157" i="36"/>
  <c r="I156" i="36"/>
  <c r="H156" i="36"/>
  <c r="G156" i="36"/>
  <c r="F156" i="36"/>
  <c r="E156" i="36"/>
  <c r="D156" i="36"/>
  <c r="C156" i="36" s="1"/>
  <c r="C155" i="36"/>
  <c r="I154" i="36"/>
  <c r="I151" i="36" s="1"/>
  <c r="H154" i="36"/>
  <c r="G154" i="36"/>
  <c r="G151" i="36" s="1"/>
  <c r="F154" i="36"/>
  <c r="F151" i="36" s="1"/>
  <c r="E154" i="36"/>
  <c r="E151" i="36" s="1"/>
  <c r="D154" i="36"/>
  <c r="C154" i="36" s="1"/>
  <c r="C153" i="36"/>
  <c r="C152" i="36"/>
  <c r="H151" i="36"/>
  <c r="D151" i="36"/>
  <c r="C150" i="36"/>
  <c r="F149" i="36"/>
  <c r="C149" i="36" s="1"/>
  <c r="C148" i="36"/>
  <c r="C147" i="36"/>
  <c r="I146" i="36"/>
  <c r="H146" i="36"/>
  <c r="G146" i="36"/>
  <c r="F146" i="36"/>
  <c r="E146" i="36"/>
  <c r="D146" i="36"/>
  <c r="D144" i="36"/>
  <c r="C144" i="36" s="1"/>
  <c r="C143" i="36"/>
  <c r="C142" i="36"/>
  <c r="I141" i="36"/>
  <c r="H141" i="36"/>
  <c r="G141" i="36"/>
  <c r="F141" i="36"/>
  <c r="E141" i="36"/>
  <c r="C140" i="36"/>
  <c r="C139" i="36"/>
  <c r="C138" i="36"/>
  <c r="I137" i="36"/>
  <c r="H137" i="36"/>
  <c r="G137" i="36"/>
  <c r="F137" i="36"/>
  <c r="E137" i="36"/>
  <c r="D137" i="36"/>
  <c r="C137" i="36"/>
  <c r="C136" i="36"/>
  <c r="C135" i="36"/>
  <c r="C134" i="36"/>
  <c r="I133" i="36"/>
  <c r="H133" i="36"/>
  <c r="G133" i="36"/>
  <c r="E133" i="36"/>
  <c r="D133" i="36"/>
  <c r="C133" i="36" s="1"/>
  <c r="C132" i="36"/>
  <c r="C131" i="36"/>
  <c r="C130" i="36"/>
  <c r="I129" i="36"/>
  <c r="H129" i="36"/>
  <c r="G129" i="36"/>
  <c r="F129" i="36"/>
  <c r="E129" i="36"/>
  <c r="D129" i="36"/>
  <c r="C128" i="36"/>
  <c r="D127" i="36"/>
  <c r="C127" i="36" s="1"/>
  <c r="C126" i="36"/>
  <c r="I125" i="36"/>
  <c r="H125" i="36"/>
  <c r="G125" i="36"/>
  <c r="F125" i="36"/>
  <c r="E125" i="36"/>
  <c r="D125" i="36"/>
  <c r="C125" i="36" s="1"/>
  <c r="C124" i="36"/>
  <c r="D123" i="36"/>
  <c r="C123" i="36" s="1"/>
  <c r="C122" i="36"/>
  <c r="I121" i="36"/>
  <c r="H121" i="36"/>
  <c r="G121" i="36"/>
  <c r="F121" i="36"/>
  <c r="E121" i="36"/>
  <c r="D121" i="36"/>
  <c r="C120" i="36"/>
  <c r="C119" i="36"/>
  <c r="C118" i="36"/>
  <c r="I117" i="36"/>
  <c r="H117" i="36"/>
  <c r="G117" i="36"/>
  <c r="F117" i="36"/>
  <c r="E117" i="36"/>
  <c r="D117" i="36"/>
  <c r="C116" i="36"/>
  <c r="C115" i="36"/>
  <c r="C114" i="36"/>
  <c r="I113" i="36"/>
  <c r="H113" i="36"/>
  <c r="G113" i="36"/>
  <c r="E113" i="36"/>
  <c r="D113" i="36"/>
  <c r="C113" i="36"/>
  <c r="E112" i="36"/>
  <c r="C112" i="36" s="1"/>
  <c r="I111" i="36"/>
  <c r="H111" i="36"/>
  <c r="H108" i="36" s="1"/>
  <c r="G111" i="36"/>
  <c r="F111" i="36"/>
  <c r="E111" i="36"/>
  <c r="I110" i="36"/>
  <c r="I62" i="36" s="1"/>
  <c r="H110" i="36"/>
  <c r="G110" i="36"/>
  <c r="G108" i="36" s="1"/>
  <c r="F110" i="36"/>
  <c r="E110" i="36"/>
  <c r="D110" i="36"/>
  <c r="C109" i="36"/>
  <c r="C107" i="36"/>
  <c r="C106" i="36"/>
  <c r="C105" i="36"/>
  <c r="C104" i="36"/>
  <c r="I103" i="36"/>
  <c r="H103" i="36"/>
  <c r="G103" i="36"/>
  <c r="F103" i="36"/>
  <c r="E103" i="36"/>
  <c r="D103" i="36"/>
  <c r="C102" i="36"/>
  <c r="I101" i="36"/>
  <c r="H101" i="36"/>
  <c r="H98" i="36" s="1"/>
  <c r="G101" i="36"/>
  <c r="G98" i="36" s="1"/>
  <c r="F101" i="36"/>
  <c r="E101" i="36"/>
  <c r="E98" i="36" s="1"/>
  <c r="D101" i="36"/>
  <c r="C101" i="36" s="1"/>
  <c r="C100" i="36"/>
  <c r="C99" i="36"/>
  <c r="I98" i="36"/>
  <c r="F98" i="36"/>
  <c r="C97" i="36"/>
  <c r="I96" i="36"/>
  <c r="H96" i="36"/>
  <c r="H93" i="36" s="1"/>
  <c r="G96" i="36"/>
  <c r="F96" i="36"/>
  <c r="F93" i="36" s="1"/>
  <c r="E96" i="36"/>
  <c r="E93" i="36" s="1"/>
  <c r="D96" i="36"/>
  <c r="C95" i="36"/>
  <c r="C94" i="36"/>
  <c r="I93" i="36"/>
  <c r="G93" i="36"/>
  <c r="C92" i="36"/>
  <c r="C91" i="36"/>
  <c r="C90" i="36"/>
  <c r="C89" i="36"/>
  <c r="I88" i="36"/>
  <c r="H88" i="36"/>
  <c r="G88" i="36"/>
  <c r="F88" i="36"/>
  <c r="E88" i="36"/>
  <c r="D88" i="36"/>
  <c r="C87" i="36"/>
  <c r="C86" i="36"/>
  <c r="C85" i="36"/>
  <c r="I84" i="36"/>
  <c r="H84" i="36"/>
  <c r="G84" i="36"/>
  <c r="F84" i="36"/>
  <c r="E84" i="36"/>
  <c r="D84" i="36"/>
  <c r="C83" i="36"/>
  <c r="C82" i="36"/>
  <c r="C81" i="36"/>
  <c r="I80" i="36"/>
  <c r="H80" i="36"/>
  <c r="G80" i="36"/>
  <c r="F80" i="36"/>
  <c r="E80" i="36"/>
  <c r="D80" i="36"/>
  <c r="I79" i="36"/>
  <c r="I64" i="36" s="1"/>
  <c r="H79" i="36"/>
  <c r="H64" i="36" s="1"/>
  <c r="G79" i="36"/>
  <c r="G64" i="36" s="1"/>
  <c r="G24" i="36" s="1"/>
  <c r="F79" i="36"/>
  <c r="E79" i="36"/>
  <c r="E64" i="36" s="1"/>
  <c r="D79" i="36"/>
  <c r="I78" i="36"/>
  <c r="H78" i="36"/>
  <c r="H63" i="36" s="1"/>
  <c r="G78" i="36"/>
  <c r="G63" i="36" s="1"/>
  <c r="F78" i="36"/>
  <c r="F75" i="36" s="1"/>
  <c r="E78" i="36"/>
  <c r="D78" i="36"/>
  <c r="D75" i="36" s="1"/>
  <c r="I77" i="36"/>
  <c r="H77" i="36"/>
  <c r="H75" i="36" s="1"/>
  <c r="G77" i="36"/>
  <c r="E77" i="36"/>
  <c r="E75" i="36" s="1"/>
  <c r="C77" i="36"/>
  <c r="C76" i="36"/>
  <c r="C74" i="36"/>
  <c r="F73" i="36"/>
  <c r="C73" i="36" s="1"/>
  <c r="C72" i="36"/>
  <c r="C71" i="36"/>
  <c r="I70" i="36"/>
  <c r="H70" i="36"/>
  <c r="G70" i="36"/>
  <c r="F70" i="36"/>
  <c r="E70" i="36"/>
  <c r="C70" i="36" s="1"/>
  <c r="D70" i="36"/>
  <c r="C69" i="36"/>
  <c r="I68" i="36"/>
  <c r="H68" i="36"/>
  <c r="H65" i="36" s="1"/>
  <c r="G68" i="36"/>
  <c r="F68" i="36"/>
  <c r="F63" i="36" s="1"/>
  <c r="E68" i="36"/>
  <c r="E65" i="36" s="1"/>
  <c r="D68" i="36"/>
  <c r="C67" i="36"/>
  <c r="C66" i="36"/>
  <c r="I65" i="36"/>
  <c r="G65" i="36"/>
  <c r="F65" i="36"/>
  <c r="D65" i="36"/>
  <c r="F64" i="36"/>
  <c r="D64" i="36"/>
  <c r="I63" i="36"/>
  <c r="F62" i="36"/>
  <c r="E62" i="36"/>
  <c r="D62" i="36"/>
  <c r="I61" i="36"/>
  <c r="H61" i="36"/>
  <c r="G61" i="36"/>
  <c r="F61" i="36"/>
  <c r="E61" i="36"/>
  <c r="E21" i="36" s="1"/>
  <c r="D61" i="36"/>
  <c r="C61" i="36" s="1"/>
  <c r="C58" i="36"/>
  <c r="C57" i="36"/>
  <c r="C56" i="36"/>
  <c r="C55" i="36"/>
  <c r="I54" i="36"/>
  <c r="H54" i="36"/>
  <c r="G54" i="36"/>
  <c r="F54" i="36"/>
  <c r="E54" i="36"/>
  <c r="D54" i="36"/>
  <c r="C54" i="36"/>
  <c r="C52" i="36"/>
  <c r="F51" i="36"/>
  <c r="C51" i="36" s="1"/>
  <c r="C50" i="36"/>
  <c r="C49" i="36"/>
  <c r="I48" i="36"/>
  <c r="H48" i="36"/>
  <c r="G48" i="36"/>
  <c r="F48" i="36"/>
  <c r="C48" i="36" s="1"/>
  <c r="E48" i="36"/>
  <c r="D48" i="36"/>
  <c r="C47" i="36"/>
  <c r="B47" i="36"/>
  <c r="B52" i="36" s="1"/>
  <c r="B50" i="35" s="1"/>
  <c r="I46" i="36"/>
  <c r="I41" i="36" s="1"/>
  <c r="I35" i="36" s="1"/>
  <c r="H46" i="36"/>
  <c r="H41" i="36" s="1"/>
  <c r="F46" i="36"/>
  <c r="C46" i="36" s="1"/>
  <c r="B46" i="36"/>
  <c r="H45" i="36"/>
  <c r="C45" i="36" s="1"/>
  <c r="B45" i="36"/>
  <c r="C44" i="36"/>
  <c r="B44" i="36"/>
  <c r="I43" i="36"/>
  <c r="G43" i="36"/>
  <c r="E43" i="36"/>
  <c r="D43" i="36"/>
  <c r="I42" i="36"/>
  <c r="H42" i="36"/>
  <c r="H36" i="36" s="1"/>
  <c r="G42" i="36"/>
  <c r="G36" i="36" s="1"/>
  <c r="F42" i="36"/>
  <c r="F36" i="36" s="1"/>
  <c r="F30" i="36" s="1"/>
  <c r="E42" i="36"/>
  <c r="D42" i="36"/>
  <c r="D36" i="36" s="1"/>
  <c r="G41" i="36"/>
  <c r="F41" i="36"/>
  <c r="F35" i="36" s="1"/>
  <c r="E41" i="36"/>
  <c r="E38" i="36" s="1"/>
  <c r="D41" i="36"/>
  <c r="I40" i="36"/>
  <c r="H40" i="36"/>
  <c r="H34" i="36" s="1"/>
  <c r="G40" i="36"/>
  <c r="F40" i="36"/>
  <c r="E40" i="36"/>
  <c r="D40" i="36"/>
  <c r="D34" i="36" s="1"/>
  <c r="C40" i="36"/>
  <c r="I39" i="36"/>
  <c r="I33" i="36" s="1"/>
  <c r="I16" i="36" s="1"/>
  <c r="H39" i="36"/>
  <c r="G39" i="36"/>
  <c r="F39" i="36"/>
  <c r="E39" i="36"/>
  <c r="D39" i="36"/>
  <c r="G38" i="36"/>
  <c r="I36" i="36"/>
  <c r="E36" i="36"/>
  <c r="E19" i="36" s="1"/>
  <c r="H35" i="36"/>
  <c r="H18" i="36" s="1"/>
  <c r="G35" i="36"/>
  <c r="G18" i="36" s="1"/>
  <c r="I34" i="36"/>
  <c r="I17" i="36" s="1"/>
  <c r="G34" i="36"/>
  <c r="F34" i="36"/>
  <c r="F28" i="36" s="1"/>
  <c r="E34" i="36"/>
  <c r="E28" i="36" s="1"/>
  <c r="H33" i="36"/>
  <c r="G33" i="36"/>
  <c r="G16" i="36" s="1"/>
  <c r="F33" i="36"/>
  <c r="F27" i="36" s="1"/>
  <c r="E33" i="36"/>
  <c r="D33" i="36"/>
  <c r="C33" i="36"/>
  <c r="H27" i="36"/>
  <c r="F24" i="36"/>
  <c r="F22" i="36"/>
  <c r="I21" i="36"/>
  <c r="H21" i="36"/>
  <c r="G21" i="36"/>
  <c r="G17" i="36"/>
  <c r="H16" i="36"/>
  <c r="F16" i="36"/>
  <c r="E16" i="36"/>
  <c r="D16" i="36"/>
  <c r="N15" i="36"/>
  <c r="Q14" i="36"/>
  <c r="Q15" i="36" s="1"/>
  <c r="P14" i="36"/>
  <c r="P15" i="36" s="1"/>
  <c r="O14" i="36"/>
  <c r="O15" i="36" s="1"/>
  <c r="N14" i="36"/>
  <c r="R13" i="36"/>
  <c r="R12" i="36"/>
  <c r="R14" i="36" s="1"/>
  <c r="R15" i="36" s="1"/>
  <c r="R8" i="36"/>
  <c r="Q8" i="36"/>
  <c r="P8" i="36"/>
  <c r="O8" i="36"/>
  <c r="N8" i="36"/>
  <c r="M8" i="36"/>
  <c r="G19" i="36" l="1"/>
  <c r="G14" i="36" s="1"/>
  <c r="G30" i="36"/>
  <c r="F207" i="36"/>
  <c r="E432" i="36"/>
  <c r="H30" i="36"/>
  <c r="H19" i="36"/>
  <c r="I30" i="36"/>
  <c r="I24" i="36"/>
  <c r="F18" i="36"/>
  <c r="F29" i="36"/>
  <c r="I11" i="36"/>
  <c r="C34" i="36"/>
  <c r="D17" i="36"/>
  <c r="G15" i="36"/>
  <c r="G11" i="36"/>
  <c r="I12" i="36"/>
  <c r="I29" i="36"/>
  <c r="I18" i="36"/>
  <c r="F60" i="36"/>
  <c r="E24" i="36"/>
  <c r="E14" i="36" s="1"/>
  <c r="E30" i="36"/>
  <c r="C36" i="36"/>
  <c r="D19" i="36"/>
  <c r="I60" i="36"/>
  <c r="I22" i="36"/>
  <c r="H32" i="36"/>
  <c r="H17" i="36"/>
  <c r="I14" i="36"/>
  <c r="F519" i="36"/>
  <c r="C308" i="36"/>
  <c r="D302" i="36"/>
  <c r="C437" i="36"/>
  <c r="F431" i="36"/>
  <c r="G306" i="36"/>
  <c r="C325" i="36"/>
  <c r="C332" i="36"/>
  <c r="G329" i="36"/>
  <c r="C329" i="36" s="1"/>
  <c r="C405" i="36"/>
  <c r="I432" i="36"/>
  <c r="C504" i="36"/>
  <c r="C544" i="36"/>
  <c r="E11" i="36"/>
  <c r="B49" i="36"/>
  <c r="B47" i="35" s="1"/>
  <c r="B42" i="35"/>
  <c r="H236" i="36"/>
  <c r="I236" i="36"/>
  <c r="I234" i="36"/>
  <c r="I210" i="36" s="1"/>
  <c r="I207" i="36" s="1"/>
  <c r="G267" i="36"/>
  <c r="C274" i="36"/>
  <c r="D270" i="36"/>
  <c r="C270" i="36" s="1"/>
  <c r="D272" i="36"/>
  <c r="C272" i="36" s="1"/>
  <c r="H29" i="36"/>
  <c r="C39" i="36"/>
  <c r="H62" i="36"/>
  <c r="H22" i="36" s="1"/>
  <c r="G62" i="36"/>
  <c r="G60" i="36" s="1"/>
  <c r="C80" i="36"/>
  <c r="C96" i="36"/>
  <c r="I108" i="36"/>
  <c r="D111" i="36"/>
  <c r="C111" i="36" s="1"/>
  <c r="C185" i="36"/>
  <c r="E300" i="36"/>
  <c r="E366" i="36"/>
  <c r="H387" i="36"/>
  <c r="C394" i="36"/>
  <c r="D389" i="36"/>
  <c r="H431" i="36"/>
  <c r="H429" i="36" s="1"/>
  <c r="H455" i="36"/>
  <c r="H453" i="36" s="1"/>
  <c r="C483" i="36"/>
  <c r="D457" i="36"/>
  <c r="C457" i="36" s="1"/>
  <c r="E521" i="36"/>
  <c r="E519" i="36" s="1"/>
  <c r="C531" i="36"/>
  <c r="F543" i="36"/>
  <c r="I28" i="36"/>
  <c r="C84" i="36"/>
  <c r="F21" i="36"/>
  <c r="F324" i="36"/>
  <c r="H432" i="36"/>
  <c r="I435" i="36"/>
  <c r="C447" i="36"/>
  <c r="I455" i="36"/>
  <c r="C503" i="36"/>
  <c r="D501" i="36"/>
  <c r="H523" i="36"/>
  <c r="C523" i="36" s="1"/>
  <c r="I522" i="36"/>
  <c r="I519" i="36" s="1"/>
  <c r="G543" i="36"/>
  <c r="G521" i="36"/>
  <c r="G519" i="36" s="1"/>
  <c r="H546" i="36"/>
  <c r="C556" i="36"/>
  <c r="D553" i="36"/>
  <c r="C553" i="36" s="1"/>
  <c r="C79" i="36"/>
  <c r="G32" i="36"/>
  <c r="F38" i="36"/>
  <c r="C42" i="36"/>
  <c r="I75" i="36"/>
  <c r="C75" i="36" s="1"/>
  <c r="C88" i="36"/>
  <c r="C110" i="36"/>
  <c r="C151" i="36"/>
  <c r="C165" i="36"/>
  <c r="C225" i="36"/>
  <c r="C239" i="36"/>
  <c r="D267" i="36"/>
  <c r="C267" i="36" s="1"/>
  <c r="C271" i="36"/>
  <c r="C293" i="36"/>
  <c r="F289" i="36"/>
  <c r="H302" i="36"/>
  <c r="C310" i="36"/>
  <c r="E369" i="36"/>
  <c r="I390" i="36"/>
  <c r="I366" i="36" s="1"/>
  <c r="I392" i="36"/>
  <c r="C413" i="36"/>
  <c r="C438" i="36"/>
  <c r="E433" i="36"/>
  <c r="C482" i="36"/>
  <c r="E501" i="36"/>
  <c r="C529" i="36"/>
  <c r="C537" i="36"/>
  <c r="H548" i="36"/>
  <c r="D21" i="36"/>
  <c r="C21" i="36" s="1"/>
  <c r="C64" i="36"/>
  <c r="D98" i="36"/>
  <c r="C98" i="36" s="1"/>
  <c r="F32" i="36"/>
  <c r="I161" i="36"/>
  <c r="C161" i="36" s="1"/>
  <c r="E35" i="36"/>
  <c r="E18" i="36" s="1"/>
  <c r="F43" i="36"/>
  <c r="C43" i="36" s="1"/>
  <c r="B51" i="36"/>
  <c r="B49" i="35" s="1"/>
  <c r="B44" i="35"/>
  <c r="G75" i="36"/>
  <c r="C78" i="36"/>
  <c r="C175" i="36"/>
  <c r="H324" i="36"/>
  <c r="C345" i="36"/>
  <c r="C350" i="36"/>
  <c r="C371" i="36"/>
  <c r="F365" i="36"/>
  <c r="I367" i="36"/>
  <c r="G456" i="36"/>
  <c r="D520" i="36"/>
  <c r="C520" i="36" s="1"/>
  <c r="F525" i="36"/>
  <c r="C528" i="36"/>
  <c r="F15" i="36"/>
  <c r="I38" i="36"/>
  <c r="E108" i="36"/>
  <c r="H15" i="36"/>
  <c r="F19" i="36"/>
  <c r="F14" i="36" s="1"/>
  <c r="D27" i="36"/>
  <c r="B50" i="36"/>
  <c r="B48" i="35" s="1"/>
  <c r="B43" i="35"/>
  <c r="E17" i="36"/>
  <c r="H38" i="36"/>
  <c r="C68" i="36"/>
  <c r="C164" i="36"/>
  <c r="F196" i="36"/>
  <c r="D213" i="36"/>
  <c r="I213" i="36"/>
  <c r="D233" i="36"/>
  <c r="D22" i="36" s="1"/>
  <c r="C249" i="36"/>
  <c r="H235" i="36"/>
  <c r="H211" i="36" s="1"/>
  <c r="H207" i="36" s="1"/>
  <c r="F267" i="36"/>
  <c r="G365" i="36"/>
  <c r="G369" i="36"/>
  <c r="C375" i="36"/>
  <c r="C506" i="36"/>
  <c r="D543" i="36"/>
  <c r="C16" i="36"/>
  <c r="F17" i="36"/>
  <c r="F12" i="36" s="1"/>
  <c r="G29" i="36"/>
  <c r="I32" i="36"/>
  <c r="C41" i="36"/>
  <c r="D35" i="36"/>
  <c r="D32" i="36" s="1"/>
  <c r="H43" i="36"/>
  <c r="C65" i="36"/>
  <c r="D174" i="36"/>
  <c r="C174" i="36" s="1"/>
  <c r="C215" i="36"/>
  <c r="G236" i="36"/>
  <c r="G234" i="36"/>
  <c r="G210" i="36" s="1"/>
  <c r="G207" i="36" s="1"/>
  <c r="D241" i="36"/>
  <c r="C241" i="36" s="1"/>
  <c r="C244" i="36"/>
  <c r="D453" i="36"/>
  <c r="E479" i="36"/>
  <c r="E455" i="36"/>
  <c r="E22" i="36" s="1"/>
  <c r="I453" i="36"/>
  <c r="C545" i="36"/>
  <c r="D546" i="36"/>
  <c r="C551" i="36"/>
  <c r="C129" i="36"/>
  <c r="F171" i="36"/>
  <c r="F181" i="36"/>
  <c r="C196" i="36"/>
  <c r="C240" i="36"/>
  <c r="F246" i="36"/>
  <c r="C292" i="36"/>
  <c r="G324" i="36"/>
  <c r="C328" i="36"/>
  <c r="I365" i="36"/>
  <c r="F390" i="36"/>
  <c r="F23" i="36" s="1"/>
  <c r="C396" i="36"/>
  <c r="C421" i="36"/>
  <c r="F456" i="36"/>
  <c r="F432" i="36" s="1"/>
  <c r="F479" i="36"/>
  <c r="C527" i="36"/>
  <c r="B45" i="35"/>
  <c r="E213" i="36"/>
  <c r="C213" i="36" s="1"/>
  <c r="C232" i="36"/>
  <c r="H246" i="36"/>
  <c r="H289" i="36"/>
  <c r="I324" i="36"/>
  <c r="C334" i="36"/>
  <c r="F392" i="36"/>
  <c r="C255" i="36"/>
  <c r="C103" i="36"/>
  <c r="C117" i="36"/>
  <c r="C146" i="36"/>
  <c r="C194" i="36"/>
  <c r="C201" i="36"/>
  <c r="E236" i="36"/>
  <c r="C236" i="36" s="1"/>
  <c r="C259" i="36"/>
  <c r="E289" i="36"/>
  <c r="C289" i="36" s="1"/>
  <c r="H303" i="36"/>
  <c r="I304" i="36"/>
  <c r="I300" i="36" s="1"/>
  <c r="C326" i="36"/>
  <c r="C338" i="36"/>
  <c r="I369" i="36"/>
  <c r="G367" i="36"/>
  <c r="I431" i="36"/>
  <c r="F435" i="36"/>
  <c r="C484" i="36"/>
  <c r="D525" i="36"/>
  <c r="C525" i="36" s="1"/>
  <c r="F108" i="36"/>
  <c r="C121" i="36"/>
  <c r="G213" i="36"/>
  <c r="C217" i="36"/>
  <c r="F231" i="36"/>
  <c r="C263" i="36"/>
  <c r="G302" i="36"/>
  <c r="G300" i="36" s="1"/>
  <c r="C312" i="36"/>
  <c r="C342" i="36"/>
  <c r="C370" i="36"/>
  <c r="E365" i="36"/>
  <c r="E363" i="36" s="1"/>
  <c r="H392" i="36"/>
  <c r="C436" i="36"/>
  <c r="E431" i="36"/>
  <c r="E429" i="36" s="1"/>
  <c r="C488" i="36"/>
  <c r="F26" i="36"/>
  <c r="D93" i="36"/>
  <c r="C93" i="36" s="1"/>
  <c r="F11" i="36"/>
  <c r="H11" i="36"/>
  <c r="E27" i="36"/>
  <c r="G27" i="36"/>
  <c r="I27" i="36"/>
  <c r="I26" i="36" s="1"/>
  <c r="D28" i="36"/>
  <c r="D30" i="36"/>
  <c r="C30" i="36" s="1"/>
  <c r="D38" i="36"/>
  <c r="C38" i="36" s="1"/>
  <c r="E284" i="36"/>
  <c r="C284" i="36" s="1"/>
  <c r="C304" i="36"/>
  <c r="E306" i="36"/>
  <c r="I306" i="36"/>
  <c r="C309" i="36"/>
  <c r="D303" i="36"/>
  <c r="C324" i="36"/>
  <c r="G347" i="36"/>
  <c r="C347" i="36" s="1"/>
  <c r="G357" i="36"/>
  <c r="C357" i="36" s="1"/>
  <c r="G363" i="36"/>
  <c r="I363" i="36"/>
  <c r="D391" i="36"/>
  <c r="G392" i="36"/>
  <c r="C395" i="36"/>
  <c r="D392" i="36"/>
  <c r="C392" i="36" s="1"/>
  <c r="D390" i="36"/>
  <c r="C548" i="36"/>
  <c r="D108" i="36"/>
  <c r="C108" i="36" s="1"/>
  <c r="D141" i="36"/>
  <c r="C141" i="36" s="1"/>
  <c r="F166" i="36"/>
  <c r="C166" i="36" s="1"/>
  <c r="D171" i="36"/>
  <c r="D176" i="36"/>
  <c r="C176" i="36" s="1"/>
  <c r="D181" i="36"/>
  <c r="E184" i="36"/>
  <c r="F191" i="36"/>
  <c r="C191" i="36" s="1"/>
  <c r="D246" i="36"/>
  <c r="C246" i="36" s="1"/>
  <c r="C307" i="36"/>
  <c r="D306" i="36"/>
  <c r="D301" i="36"/>
  <c r="D300" i="36" s="1"/>
  <c r="F306" i="36"/>
  <c r="F301" i="36"/>
  <c r="F300" i="36" s="1"/>
  <c r="H306" i="36"/>
  <c r="H301" i="36"/>
  <c r="H300" i="36" s="1"/>
  <c r="C372" i="36"/>
  <c r="D369" i="36"/>
  <c r="D366" i="36"/>
  <c r="F369" i="36"/>
  <c r="F366" i="36"/>
  <c r="F363" i="36" s="1"/>
  <c r="H369" i="36"/>
  <c r="H366" i="36"/>
  <c r="H363" i="36" s="1"/>
  <c r="E387" i="36"/>
  <c r="G387" i="36"/>
  <c r="I387" i="36"/>
  <c r="D418" i="36"/>
  <c r="C418" i="36" s="1"/>
  <c r="D430" i="36"/>
  <c r="C430" i="36" s="1"/>
  <c r="D435" i="36"/>
  <c r="C435" i="36" s="1"/>
  <c r="D479" i="36"/>
  <c r="C432" i="36" l="1"/>
  <c r="H231" i="36"/>
  <c r="H522" i="36"/>
  <c r="H519" i="36" s="1"/>
  <c r="H543" i="36"/>
  <c r="C543" i="36" s="1"/>
  <c r="E32" i="36"/>
  <c r="C32" i="36" s="1"/>
  <c r="F453" i="36"/>
  <c r="C453" i="36" s="1"/>
  <c r="I13" i="36"/>
  <c r="I10" i="36" s="1"/>
  <c r="R11" i="36" s="1"/>
  <c r="R9" i="36" s="1"/>
  <c r="I15" i="36"/>
  <c r="E453" i="36"/>
  <c r="D433" i="36"/>
  <c r="F387" i="36"/>
  <c r="F429" i="36"/>
  <c r="C62" i="36"/>
  <c r="H23" i="36"/>
  <c r="H13" i="36" s="1"/>
  <c r="C456" i="36"/>
  <c r="E12" i="36"/>
  <c r="C389" i="36"/>
  <c r="D365" i="36"/>
  <c r="C365" i="36" s="1"/>
  <c r="C17" i="36"/>
  <c r="D12" i="36"/>
  <c r="G23" i="36"/>
  <c r="G13" i="36" s="1"/>
  <c r="C233" i="36"/>
  <c r="D209" i="36"/>
  <c r="C171" i="36"/>
  <c r="D11" i="36"/>
  <c r="C11" i="36" s="1"/>
  <c r="C455" i="36"/>
  <c r="I23" i="36"/>
  <c r="I20" i="36" s="1"/>
  <c r="C19" i="36"/>
  <c r="F13" i="36"/>
  <c r="F10" i="36" s="1"/>
  <c r="O11" i="36" s="1"/>
  <c r="O9" i="36" s="1"/>
  <c r="C211" i="36"/>
  <c r="C303" i="36"/>
  <c r="D18" i="36"/>
  <c r="C35" i="36"/>
  <c r="C302" i="36"/>
  <c r="H12" i="36"/>
  <c r="H10" i="36" s="1"/>
  <c r="Q11" i="36" s="1"/>
  <c r="Q9" i="36" s="1"/>
  <c r="E15" i="36"/>
  <c r="H14" i="36"/>
  <c r="D231" i="36"/>
  <c r="C546" i="36"/>
  <c r="D522" i="36"/>
  <c r="C501" i="36"/>
  <c r="F20" i="36"/>
  <c r="G28" i="36"/>
  <c r="G22" i="36"/>
  <c r="C521" i="36"/>
  <c r="H60" i="36"/>
  <c r="H28" i="36"/>
  <c r="H26" i="36" s="1"/>
  <c r="C431" i="36"/>
  <c r="H24" i="36"/>
  <c r="G26" i="36"/>
  <c r="G453" i="36"/>
  <c r="G432" i="36"/>
  <c r="G429" i="36" s="1"/>
  <c r="C479" i="36"/>
  <c r="C27" i="36"/>
  <c r="C235" i="36"/>
  <c r="D63" i="36"/>
  <c r="D60" i="36" s="1"/>
  <c r="G231" i="36"/>
  <c r="D234" i="36"/>
  <c r="I429" i="36"/>
  <c r="I231" i="36"/>
  <c r="C366" i="36"/>
  <c r="C306" i="36"/>
  <c r="E181" i="36"/>
  <c r="C181" i="36" s="1"/>
  <c r="E63" i="36"/>
  <c r="D387" i="36"/>
  <c r="C387" i="36" s="1"/>
  <c r="C390" i="36"/>
  <c r="C391" i="36"/>
  <c r="D367" i="36"/>
  <c r="C367" i="36" s="1"/>
  <c r="D24" i="36"/>
  <c r="C184" i="36"/>
  <c r="C369" i="36"/>
  <c r="C300" i="36"/>
  <c r="D29" i="36" l="1"/>
  <c r="D26" i="36" s="1"/>
  <c r="C231" i="36"/>
  <c r="C28" i="36"/>
  <c r="C522" i="36"/>
  <c r="D519" i="36"/>
  <c r="C519" i="36" s="1"/>
  <c r="C433" i="36"/>
  <c r="D429" i="36"/>
  <c r="C429" i="36" s="1"/>
  <c r="H20" i="36"/>
  <c r="D23" i="36"/>
  <c r="G20" i="36"/>
  <c r="G12" i="36"/>
  <c r="G10" i="36" s="1"/>
  <c r="P11" i="36" s="1"/>
  <c r="P9" i="36" s="1"/>
  <c r="C209" i="36"/>
  <c r="C234" i="36"/>
  <c r="D210" i="36"/>
  <c r="C210" i="36" s="1"/>
  <c r="C18" i="36"/>
  <c r="D15" i="36"/>
  <c r="C15" i="36" s="1"/>
  <c r="C22" i="36"/>
  <c r="D20" i="36"/>
  <c r="D13" i="36"/>
  <c r="D363" i="36"/>
  <c r="C363" i="36" s="1"/>
  <c r="C24" i="36"/>
  <c r="D14" i="36"/>
  <c r="C14" i="36" s="1"/>
  <c r="E60" i="36"/>
  <c r="C60" i="36" s="1"/>
  <c r="E23" i="36"/>
  <c r="C23" i="36" s="1"/>
  <c r="E29" i="36"/>
  <c r="C63" i="36"/>
  <c r="D207" i="36" l="1"/>
  <c r="C207" i="36" s="1"/>
  <c r="C12" i="36"/>
  <c r="C29" i="36"/>
  <c r="E26" i="36"/>
  <c r="C26" i="36" s="1"/>
  <c r="D10" i="36"/>
  <c r="E13" i="36"/>
  <c r="E10" i="36" s="1"/>
  <c r="N11" i="36" s="1"/>
  <c r="N9" i="36" s="1"/>
  <c r="E20" i="36"/>
  <c r="C20" i="36" s="1"/>
  <c r="M11" i="36" l="1"/>
  <c r="C10" i="36"/>
  <c r="C13" i="36"/>
  <c r="M9" i="36" l="1"/>
  <c r="M14" i="36"/>
  <c r="M15" i="36" s="1"/>
  <c r="E460" i="21" l="1"/>
  <c r="E457" i="21" s="1"/>
  <c r="E455" i="21"/>
  <c r="E148" i="21"/>
  <c r="E202" i="21"/>
  <c r="I460" i="21"/>
  <c r="I450" i="21" s="1"/>
  <c r="H460" i="21"/>
  <c r="H450" i="21" s="1"/>
  <c r="H438" i="21" s="1"/>
  <c r="G460" i="21"/>
  <c r="G457" i="21" s="1"/>
  <c r="D460" i="21"/>
  <c r="C459" i="21"/>
  <c r="C458" i="21"/>
  <c r="F457" i="21"/>
  <c r="D457" i="21"/>
  <c r="C456" i="21"/>
  <c r="I455" i="21"/>
  <c r="H455" i="21"/>
  <c r="H452" i="21" s="1"/>
  <c r="G455" i="21"/>
  <c r="G452" i="21" s="1"/>
  <c r="D455" i="21"/>
  <c r="C454" i="21"/>
  <c r="C453" i="21"/>
  <c r="I452" i="21"/>
  <c r="F452" i="21"/>
  <c r="I451" i="21"/>
  <c r="H451" i="21"/>
  <c r="H445" i="21" s="1"/>
  <c r="H439" i="21" s="1"/>
  <c r="G451" i="21"/>
  <c r="F451" i="21"/>
  <c r="F445" i="21" s="1"/>
  <c r="F439" i="21" s="1"/>
  <c r="E451" i="21"/>
  <c r="D451" i="21"/>
  <c r="G450" i="21"/>
  <c r="F450" i="21"/>
  <c r="I449" i="21"/>
  <c r="I443" i="21" s="1"/>
  <c r="H449" i="21"/>
  <c r="H443" i="21" s="1"/>
  <c r="G449" i="21"/>
  <c r="G443" i="21" s="1"/>
  <c r="F449" i="21"/>
  <c r="F443" i="21" s="1"/>
  <c r="E449" i="21"/>
  <c r="D449" i="21"/>
  <c r="I448" i="21"/>
  <c r="I442" i="21" s="1"/>
  <c r="I436" i="21" s="1"/>
  <c r="H448" i="21"/>
  <c r="G448" i="21"/>
  <c r="G442" i="21" s="1"/>
  <c r="G436" i="21" s="1"/>
  <c r="F448" i="21"/>
  <c r="F442" i="21" s="1"/>
  <c r="F436" i="21" s="1"/>
  <c r="E448" i="21"/>
  <c r="E442" i="21" s="1"/>
  <c r="E436" i="21" s="1"/>
  <c r="D448" i="21"/>
  <c r="C448" i="21" s="1"/>
  <c r="F447" i="21"/>
  <c r="I445" i="21"/>
  <c r="I439" i="21" s="1"/>
  <c r="G445" i="21"/>
  <c r="G439" i="21" s="1"/>
  <c r="E445" i="21"/>
  <c r="E439" i="21" s="1"/>
  <c r="C444" i="21"/>
  <c r="E443" i="21"/>
  <c r="E437" i="21" s="1"/>
  <c r="H442" i="21"/>
  <c r="H436" i="21" s="1"/>
  <c r="D442" i="21"/>
  <c r="G438" i="21"/>
  <c r="F438" i="21"/>
  <c r="C432" i="21"/>
  <c r="C431" i="21"/>
  <c r="C430" i="21"/>
  <c r="I429" i="21"/>
  <c r="H429" i="21"/>
  <c r="G429" i="21"/>
  <c r="F429" i="21"/>
  <c r="E429" i="21"/>
  <c r="D429" i="21"/>
  <c r="C429" i="21" s="1"/>
  <c r="C428" i="21"/>
  <c r="C427" i="21"/>
  <c r="C426" i="21"/>
  <c r="I425" i="21"/>
  <c r="H425" i="21"/>
  <c r="G425" i="21"/>
  <c r="F425" i="21"/>
  <c r="E425" i="21"/>
  <c r="D425" i="21"/>
  <c r="C425" i="21" s="1"/>
  <c r="C424" i="21"/>
  <c r="C423" i="21"/>
  <c r="C422" i="21"/>
  <c r="I421" i="21"/>
  <c r="H421" i="21"/>
  <c r="G421" i="21"/>
  <c r="F421" i="21"/>
  <c r="E421" i="21"/>
  <c r="D421" i="21"/>
  <c r="I420" i="21"/>
  <c r="H420" i="21"/>
  <c r="G420" i="21"/>
  <c r="F420" i="21"/>
  <c r="E420" i="21"/>
  <c r="D420" i="21"/>
  <c r="C420" i="21" s="1"/>
  <c r="I419" i="21"/>
  <c r="H419" i="21"/>
  <c r="G419" i="21"/>
  <c r="F419" i="21"/>
  <c r="E419" i="21"/>
  <c r="D419" i="21"/>
  <c r="I418" i="21"/>
  <c r="H418" i="21"/>
  <c r="G418" i="21"/>
  <c r="F418" i="21"/>
  <c r="E418" i="21"/>
  <c r="D418" i="21"/>
  <c r="C418" i="21"/>
  <c r="C417" i="21"/>
  <c r="I416" i="21"/>
  <c r="G416" i="21"/>
  <c r="E416" i="21"/>
  <c r="C415" i="21"/>
  <c r="C414" i="21"/>
  <c r="C413" i="21"/>
  <c r="I412" i="21"/>
  <c r="H412" i="21"/>
  <c r="G412" i="21"/>
  <c r="F412" i="21"/>
  <c r="E412" i="21"/>
  <c r="C412" i="21" s="1"/>
  <c r="D412" i="21"/>
  <c r="C411" i="21"/>
  <c r="D410" i="21"/>
  <c r="C410" i="21" s="1"/>
  <c r="C409" i="21"/>
  <c r="I408" i="21"/>
  <c r="H408" i="21"/>
  <c r="G408" i="21"/>
  <c r="F408" i="21"/>
  <c r="E408" i="21"/>
  <c r="C407" i="21"/>
  <c r="C406" i="21"/>
  <c r="C405" i="21"/>
  <c r="I404" i="21"/>
  <c r="H404" i="21"/>
  <c r="G404" i="21"/>
  <c r="F404" i="21"/>
  <c r="E404" i="21"/>
  <c r="D404" i="21"/>
  <c r="C404" i="21" s="1"/>
  <c r="I403" i="21"/>
  <c r="I377" i="21" s="1"/>
  <c r="I365" i="21" s="1"/>
  <c r="H403" i="21"/>
  <c r="G403" i="21"/>
  <c r="G377" i="21" s="1"/>
  <c r="G365" i="21" s="1"/>
  <c r="F403" i="21"/>
  <c r="E403" i="21"/>
  <c r="E377" i="21" s="1"/>
  <c r="E365" i="21" s="1"/>
  <c r="D403" i="21"/>
  <c r="C403" i="21" s="1"/>
  <c r="I402" i="21"/>
  <c r="I399" i="21" s="1"/>
  <c r="H402" i="21"/>
  <c r="G402" i="21"/>
  <c r="F402" i="21"/>
  <c r="E402" i="21"/>
  <c r="D402" i="21"/>
  <c r="I401" i="21"/>
  <c r="I375" i="21" s="1"/>
  <c r="H401" i="21"/>
  <c r="G401" i="21"/>
  <c r="G375" i="21" s="1"/>
  <c r="F401" i="21"/>
  <c r="F375" i="21" s="1"/>
  <c r="F363" i="21" s="1"/>
  <c r="E401" i="21"/>
  <c r="E375" i="21" s="1"/>
  <c r="D401" i="21"/>
  <c r="C401" i="21" s="1"/>
  <c r="C400" i="21"/>
  <c r="C398" i="21"/>
  <c r="C397" i="21"/>
  <c r="C396" i="21"/>
  <c r="C394" i="21"/>
  <c r="C393" i="21"/>
  <c r="C392" i="21"/>
  <c r="C390" i="21"/>
  <c r="C389" i="21"/>
  <c r="C388" i="21"/>
  <c r="C386" i="21"/>
  <c r="C385" i="21"/>
  <c r="C384" i="21"/>
  <c r="C382" i="21"/>
  <c r="C381" i="21"/>
  <c r="C380" i="21"/>
  <c r="C379" i="21"/>
  <c r="H377" i="21"/>
  <c r="H365" i="21" s="1"/>
  <c r="F377" i="21"/>
  <c r="F365" i="21" s="1"/>
  <c r="D377" i="21"/>
  <c r="D365" i="21" s="1"/>
  <c r="I376" i="21"/>
  <c r="I364" i="21" s="1"/>
  <c r="G376" i="21"/>
  <c r="G364" i="21" s="1"/>
  <c r="E376" i="21"/>
  <c r="E364" i="21" s="1"/>
  <c r="H375" i="21"/>
  <c r="H363" i="21" s="1"/>
  <c r="D375" i="21"/>
  <c r="C374" i="21"/>
  <c r="C371" i="21"/>
  <c r="C370" i="21"/>
  <c r="C369" i="21"/>
  <c r="C368" i="21"/>
  <c r="I367" i="21"/>
  <c r="H367" i="21"/>
  <c r="G367" i="21"/>
  <c r="F367" i="21"/>
  <c r="E367" i="21"/>
  <c r="D367" i="21"/>
  <c r="C367" i="21" s="1"/>
  <c r="I362" i="21"/>
  <c r="H362" i="21"/>
  <c r="G362" i="21"/>
  <c r="F362" i="21"/>
  <c r="E362" i="21"/>
  <c r="D362" i="21"/>
  <c r="C362" i="21" s="1"/>
  <c r="C358" i="21"/>
  <c r="C357" i="21"/>
  <c r="C356" i="21"/>
  <c r="C355" i="21"/>
  <c r="I354" i="21"/>
  <c r="H354" i="21"/>
  <c r="G354" i="21"/>
  <c r="F354" i="21"/>
  <c r="E354" i="21"/>
  <c r="D354" i="21"/>
  <c r="C353" i="21"/>
  <c r="D352" i="21"/>
  <c r="C352" i="21" s="1"/>
  <c r="C351" i="21"/>
  <c r="C350" i="21"/>
  <c r="I349" i="21"/>
  <c r="H349" i="21"/>
  <c r="G349" i="21"/>
  <c r="F349" i="21"/>
  <c r="E349" i="21"/>
  <c r="C348" i="21"/>
  <c r="C347" i="21"/>
  <c r="C346" i="21"/>
  <c r="I345" i="21"/>
  <c r="H345" i="21"/>
  <c r="G345" i="21"/>
  <c r="F345" i="21"/>
  <c r="E345" i="21"/>
  <c r="D345" i="21"/>
  <c r="C344" i="21"/>
  <c r="C343" i="21"/>
  <c r="C342" i="21"/>
  <c r="I341" i="21"/>
  <c r="H341" i="21"/>
  <c r="G341" i="21"/>
  <c r="F341" i="21"/>
  <c r="E341" i="21"/>
  <c r="D341" i="21"/>
  <c r="C340" i="21"/>
  <c r="C339" i="21"/>
  <c r="C338" i="21"/>
  <c r="C337" i="21"/>
  <c r="C336" i="21"/>
  <c r="C335" i="21"/>
  <c r="C334" i="21"/>
  <c r="I333" i="21"/>
  <c r="H333" i="21"/>
  <c r="G333" i="21"/>
  <c r="F333" i="21"/>
  <c r="E333" i="21"/>
  <c r="D333" i="21"/>
  <c r="C333" i="21" s="1"/>
  <c r="I332" i="21"/>
  <c r="I327" i="21" s="1"/>
  <c r="I315" i="21" s="1"/>
  <c r="H332" i="21"/>
  <c r="G332" i="21"/>
  <c r="G327" i="21" s="1"/>
  <c r="G315" i="21" s="1"/>
  <c r="F332" i="21"/>
  <c r="E332" i="21"/>
  <c r="E327" i="21" s="1"/>
  <c r="E315" i="21" s="1"/>
  <c r="D332" i="21"/>
  <c r="C332" i="21" s="1"/>
  <c r="I331" i="21"/>
  <c r="I326" i="21" s="1"/>
  <c r="H331" i="21"/>
  <c r="H328" i="21" s="1"/>
  <c r="G331" i="21"/>
  <c r="F331" i="21"/>
  <c r="E331" i="21"/>
  <c r="D331" i="21"/>
  <c r="C331" i="21" s="1"/>
  <c r="I330" i="21"/>
  <c r="I325" i="21" s="1"/>
  <c r="H330" i="21"/>
  <c r="G330" i="21"/>
  <c r="G325" i="21" s="1"/>
  <c r="F330" i="21"/>
  <c r="F325" i="21" s="1"/>
  <c r="E330" i="21"/>
  <c r="E325" i="21" s="1"/>
  <c r="D330" i="21"/>
  <c r="C330" i="21" s="1"/>
  <c r="C329" i="21"/>
  <c r="I328" i="21"/>
  <c r="E328" i="21"/>
  <c r="H327" i="21"/>
  <c r="H315" i="21" s="1"/>
  <c r="F327" i="21"/>
  <c r="D327" i="21"/>
  <c r="G326" i="21"/>
  <c r="E326" i="21"/>
  <c r="H325" i="21"/>
  <c r="D325" i="21"/>
  <c r="I324" i="21"/>
  <c r="H324" i="21"/>
  <c r="G324" i="21"/>
  <c r="F324" i="21"/>
  <c r="C324" i="21" s="1"/>
  <c r="E324" i="21"/>
  <c r="D324" i="21"/>
  <c r="C321" i="21"/>
  <c r="C320" i="21"/>
  <c r="C319" i="21"/>
  <c r="C318" i="21"/>
  <c r="I317" i="21"/>
  <c r="H317" i="21"/>
  <c r="G317" i="21"/>
  <c r="F317" i="21"/>
  <c r="E317" i="21"/>
  <c r="C317" i="21" s="1"/>
  <c r="D317" i="21"/>
  <c r="F315" i="21"/>
  <c r="D315" i="21"/>
  <c r="G314" i="21"/>
  <c r="E314" i="21"/>
  <c r="H313" i="21"/>
  <c r="C312" i="21"/>
  <c r="C308" i="21"/>
  <c r="C307" i="21"/>
  <c r="C306" i="21"/>
  <c r="C305" i="21"/>
  <c r="I304" i="21"/>
  <c r="H304" i="21"/>
  <c r="G304" i="21"/>
  <c r="F304" i="21"/>
  <c r="C304" i="21" s="1"/>
  <c r="E304" i="21"/>
  <c r="D304" i="21"/>
  <c r="C303" i="21"/>
  <c r="C302" i="21"/>
  <c r="C301" i="21"/>
  <c r="C300" i="21"/>
  <c r="I299" i="21"/>
  <c r="H299" i="21"/>
  <c r="G299" i="21"/>
  <c r="F299" i="21"/>
  <c r="E299" i="21"/>
  <c r="D299" i="21"/>
  <c r="C298" i="21"/>
  <c r="C297" i="21"/>
  <c r="C296" i="21"/>
  <c r="C295" i="21"/>
  <c r="I294" i="21"/>
  <c r="H294" i="21"/>
  <c r="G294" i="21"/>
  <c r="F294" i="21"/>
  <c r="E294" i="21"/>
  <c r="C294" i="21" s="1"/>
  <c r="D294" i="21"/>
  <c r="C293" i="21"/>
  <c r="C292" i="21"/>
  <c r="C291" i="21"/>
  <c r="C290" i="21"/>
  <c r="I289" i="21"/>
  <c r="H289" i="21"/>
  <c r="G289" i="21"/>
  <c r="F289" i="21"/>
  <c r="E289" i="21"/>
  <c r="D289" i="21"/>
  <c r="C288" i="21"/>
  <c r="C287" i="21"/>
  <c r="C286" i="21"/>
  <c r="I285" i="21"/>
  <c r="H285" i="21"/>
  <c r="G285" i="21"/>
  <c r="F285" i="21"/>
  <c r="E285" i="21"/>
  <c r="D285" i="21"/>
  <c r="C285" i="21" s="1"/>
  <c r="C284" i="21"/>
  <c r="C283" i="21"/>
  <c r="C282" i="21"/>
  <c r="I281" i="21"/>
  <c r="H281" i="21"/>
  <c r="G281" i="21"/>
  <c r="F281" i="21"/>
  <c r="E281" i="21"/>
  <c r="D281" i="21"/>
  <c r="C281" i="21" s="1"/>
  <c r="C280" i="21"/>
  <c r="C279" i="21"/>
  <c r="C278" i="21"/>
  <c r="C277" i="21"/>
  <c r="I276" i="21"/>
  <c r="H276" i="21"/>
  <c r="G276" i="21"/>
  <c r="F276" i="21"/>
  <c r="E276" i="21"/>
  <c r="D276" i="21"/>
  <c r="C276" i="21" s="1"/>
  <c r="I275" i="21"/>
  <c r="H275" i="21"/>
  <c r="G275" i="21"/>
  <c r="F275" i="21"/>
  <c r="E275" i="21"/>
  <c r="D275" i="21"/>
  <c r="I274" i="21"/>
  <c r="H274" i="21"/>
  <c r="G274" i="21"/>
  <c r="F274" i="21"/>
  <c r="E274" i="21"/>
  <c r="D274" i="21"/>
  <c r="C274" i="21"/>
  <c r="I273" i="21"/>
  <c r="H273" i="21"/>
  <c r="G273" i="21"/>
  <c r="F273" i="21"/>
  <c r="E273" i="21"/>
  <c r="D273" i="21"/>
  <c r="C273" i="21" s="1"/>
  <c r="I272" i="21"/>
  <c r="I271" i="21" s="1"/>
  <c r="H272" i="21"/>
  <c r="H271" i="21" s="1"/>
  <c r="G272" i="21"/>
  <c r="F272" i="21"/>
  <c r="E272" i="21"/>
  <c r="D272" i="21"/>
  <c r="C272" i="21" s="1"/>
  <c r="F271" i="21"/>
  <c r="D271" i="21"/>
  <c r="C269" i="21"/>
  <c r="C268" i="21"/>
  <c r="C267" i="21"/>
  <c r="C266" i="21"/>
  <c r="I265" i="21"/>
  <c r="H265" i="21"/>
  <c r="G265" i="21"/>
  <c r="F265" i="21"/>
  <c r="E265" i="21"/>
  <c r="D265" i="21"/>
  <c r="C265" i="21" s="1"/>
  <c r="I263" i="21"/>
  <c r="H263" i="21"/>
  <c r="G263" i="21"/>
  <c r="F263" i="21"/>
  <c r="E263" i="21"/>
  <c r="E259" i="21" s="1"/>
  <c r="D263" i="21"/>
  <c r="I262" i="21"/>
  <c r="H262" i="21"/>
  <c r="G262" i="21"/>
  <c r="F262" i="21"/>
  <c r="E262" i="21"/>
  <c r="D262" i="21"/>
  <c r="C262" i="21"/>
  <c r="I261" i="21"/>
  <c r="H261" i="21"/>
  <c r="G261" i="21"/>
  <c r="F261" i="21"/>
  <c r="E261" i="21"/>
  <c r="D261" i="21"/>
  <c r="C261" i="21" s="1"/>
  <c r="I260" i="21"/>
  <c r="I259" i="21" s="1"/>
  <c r="H260" i="21"/>
  <c r="G260" i="21"/>
  <c r="F260" i="21"/>
  <c r="E260" i="21"/>
  <c r="D260" i="21"/>
  <c r="G259" i="21"/>
  <c r="C256" i="21"/>
  <c r="E255" i="21"/>
  <c r="C255" i="21" s="1"/>
  <c r="C254" i="21"/>
  <c r="C253" i="21"/>
  <c r="I252" i="21"/>
  <c r="H252" i="21"/>
  <c r="G252" i="21"/>
  <c r="F252" i="21"/>
  <c r="E252" i="21"/>
  <c r="C252" i="21" s="1"/>
  <c r="D252" i="21"/>
  <c r="C251" i="21"/>
  <c r="E250" i="21"/>
  <c r="C250" i="21" s="1"/>
  <c r="C249" i="21"/>
  <c r="C248" i="21"/>
  <c r="I247" i="21"/>
  <c r="H247" i="21"/>
  <c r="G247" i="21"/>
  <c r="F247" i="21"/>
  <c r="D247" i="21"/>
  <c r="C246" i="21"/>
  <c r="C245" i="21"/>
  <c r="C244" i="21"/>
  <c r="I243" i="21"/>
  <c r="G243" i="21"/>
  <c r="E243" i="21"/>
  <c r="D243" i="21"/>
  <c r="C243" i="21" s="1"/>
  <c r="C242" i="21"/>
  <c r="C241" i="21"/>
  <c r="C240" i="21"/>
  <c r="I239" i="21"/>
  <c r="H239" i="21"/>
  <c r="G239" i="21"/>
  <c r="D239" i="21"/>
  <c r="C239" i="21" s="1"/>
  <c r="C238" i="21"/>
  <c r="D237" i="21"/>
  <c r="C237" i="21" s="1"/>
  <c r="C236" i="21"/>
  <c r="I235" i="21"/>
  <c r="H235" i="21"/>
  <c r="G235" i="21"/>
  <c r="F235" i="21"/>
  <c r="E235" i="21"/>
  <c r="D235" i="21"/>
  <c r="C235" i="21" s="1"/>
  <c r="I234" i="21"/>
  <c r="I198" i="21" s="1"/>
  <c r="H234" i="21"/>
  <c r="G234" i="21"/>
  <c r="G198" i="21" s="1"/>
  <c r="F234" i="21"/>
  <c r="E234" i="21"/>
  <c r="D234" i="21"/>
  <c r="C234" i="21" s="1"/>
  <c r="I233" i="21"/>
  <c r="H233" i="21"/>
  <c r="G233" i="21"/>
  <c r="F233" i="21"/>
  <c r="E233" i="21"/>
  <c r="I232" i="21"/>
  <c r="I196" i="21" s="1"/>
  <c r="H232" i="21"/>
  <c r="G232" i="21"/>
  <c r="F232" i="21"/>
  <c r="E232" i="21"/>
  <c r="E196" i="21" s="1"/>
  <c r="D232" i="21"/>
  <c r="C232" i="21" s="1"/>
  <c r="C231" i="21"/>
  <c r="I230" i="21"/>
  <c r="C229" i="21"/>
  <c r="C228" i="21"/>
  <c r="C227" i="21"/>
  <c r="I226" i="21"/>
  <c r="H226" i="21"/>
  <c r="G226" i="21"/>
  <c r="F226" i="21"/>
  <c r="E226" i="21"/>
  <c r="D226" i="21"/>
  <c r="C226" i="21"/>
  <c r="C225" i="21"/>
  <c r="C224" i="21"/>
  <c r="C223" i="21"/>
  <c r="I222" i="21"/>
  <c r="H222" i="21"/>
  <c r="G222" i="21"/>
  <c r="F222" i="21"/>
  <c r="E222" i="21"/>
  <c r="D222" i="21"/>
  <c r="C222" i="21" s="1"/>
  <c r="C221" i="21"/>
  <c r="C220" i="21"/>
  <c r="C219" i="21"/>
  <c r="I218" i="21"/>
  <c r="H218" i="21"/>
  <c r="G218" i="21"/>
  <c r="F218" i="21"/>
  <c r="E218" i="21"/>
  <c r="D218" i="21"/>
  <c r="C218" i="21" s="1"/>
  <c r="C217" i="21"/>
  <c r="C216" i="21"/>
  <c r="C215" i="21"/>
  <c r="I214" i="21"/>
  <c r="H214" i="21"/>
  <c r="G214" i="21"/>
  <c r="F214" i="21"/>
  <c r="E214" i="21"/>
  <c r="D214" i="21"/>
  <c r="C214" i="21" s="1"/>
  <c r="C213" i="21"/>
  <c r="E212" i="21"/>
  <c r="E209" i="21" s="1"/>
  <c r="D212" i="21"/>
  <c r="C212" i="21" s="1"/>
  <c r="C211" i="21"/>
  <c r="C210" i="21"/>
  <c r="I209" i="21"/>
  <c r="H209" i="21"/>
  <c r="G209" i="21"/>
  <c r="F209" i="21"/>
  <c r="D209" i="21"/>
  <c r="C209" i="21" s="1"/>
  <c r="C208" i="21"/>
  <c r="D207" i="21"/>
  <c r="C207" i="21" s="1"/>
  <c r="C206" i="21"/>
  <c r="C205" i="21"/>
  <c r="I204" i="21"/>
  <c r="H204" i="21"/>
  <c r="G204" i="21"/>
  <c r="F204" i="21"/>
  <c r="E204" i="21"/>
  <c r="E203" i="21"/>
  <c r="E199" i="21" s="1"/>
  <c r="F202" i="21"/>
  <c r="D202" i="21"/>
  <c r="C201" i="21"/>
  <c r="C200" i="21"/>
  <c r="I199" i="21"/>
  <c r="H199" i="21"/>
  <c r="G199" i="21"/>
  <c r="H198" i="21"/>
  <c r="H186" i="21" s="1"/>
  <c r="F198" i="21"/>
  <c r="D198" i="21"/>
  <c r="D186" i="21" s="1"/>
  <c r="I197" i="21"/>
  <c r="G197" i="21"/>
  <c r="E197" i="21"/>
  <c r="H196" i="21"/>
  <c r="F196" i="21"/>
  <c r="F184" i="21" s="1"/>
  <c r="D196" i="21"/>
  <c r="I195" i="21"/>
  <c r="H195" i="21"/>
  <c r="G195" i="21"/>
  <c r="F195" i="21"/>
  <c r="C195" i="21" s="1"/>
  <c r="E195" i="21"/>
  <c r="D195" i="21"/>
  <c r="C192" i="21"/>
  <c r="C191" i="21"/>
  <c r="C190" i="21"/>
  <c r="C189" i="21"/>
  <c r="I188" i="21"/>
  <c r="H188" i="21"/>
  <c r="G188" i="21"/>
  <c r="F188" i="21"/>
  <c r="E188" i="21"/>
  <c r="D188" i="21"/>
  <c r="C188" i="21"/>
  <c r="I186" i="21"/>
  <c r="G186" i="21"/>
  <c r="F186" i="21"/>
  <c r="I185" i="21"/>
  <c r="G185" i="21"/>
  <c r="E185" i="21"/>
  <c r="H184" i="21"/>
  <c r="D184" i="21"/>
  <c r="C183" i="21"/>
  <c r="C179" i="21"/>
  <c r="C178" i="21"/>
  <c r="C177" i="21"/>
  <c r="C176" i="21"/>
  <c r="I175" i="21"/>
  <c r="H175" i="21"/>
  <c r="G175" i="21"/>
  <c r="F175" i="21"/>
  <c r="E175" i="21"/>
  <c r="D175" i="21"/>
  <c r="C175" i="21" s="1"/>
  <c r="C174" i="21"/>
  <c r="E173" i="21"/>
  <c r="C173" i="21" s="1"/>
  <c r="C172" i="21"/>
  <c r="C171" i="21"/>
  <c r="I170" i="21"/>
  <c r="H170" i="21"/>
  <c r="G170" i="21"/>
  <c r="F170" i="21"/>
  <c r="C170" i="21" s="1"/>
  <c r="E170" i="21"/>
  <c r="D170" i="21"/>
  <c r="E169" i="21"/>
  <c r="C169" i="21"/>
  <c r="D168" i="21"/>
  <c r="C167" i="21"/>
  <c r="C166" i="21"/>
  <c r="I165" i="21"/>
  <c r="H165" i="21"/>
  <c r="G165" i="21"/>
  <c r="F165" i="21"/>
  <c r="C164" i="21"/>
  <c r="D163" i="21"/>
  <c r="C163" i="21" s="1"/>
  <c r="C162" i="21"/>
  <c r="C161" i="21"/>
  <c r="I160" i="21"/>
  <c r="H160" i="21"/>
  <c r="G160" i="21"/>
  <c r="F160" i="21"/>
  <c r="E160" i="21"/>
  <c r="E159" i="21"/>
  <c r="C159" i="21"/>
  <c r="E158" i="21"/>
  <c r="C157" i="21"/>
  <c r="C156" i="21"/>
  <c r="I155" i="21"/>
  <c r="H155" i="21"/>
  <c r="G155" i="21"/>
  <c r="F155" i="21"/>
  <c r="E155" i="21"/>
  <c r="C154" i="21"/>
  <c r="C153" i="21"/>
  <c r="C152" i="21"/>
  <c r="C151" i="21"/>
  <c r="I150" i="21"/>
  <c r="H150" i="21"/>
  <c r="G150" i="21"/>
  <c r="F150" i="21"/>
  <c r="E150" i="21"/>
  <c r="D150" i="21"/>
  <c r="E149" i="21"/>
  <c r="C149" i="21" s="1"/>
  <c r="D149" i="21"/>
  <c r="D148" i="21"/>
  <c r="C148" i="21" s="1"/>
  <c r="C147" i="21"/>
  <c r="C146" i="21"/>
  <c r="I145" i="21"/>
  <c r="H145" i="21"/>
  <c r="G145" i="21"/>
  <c r="F145" i="21"/>
  <c r="C144" i="21"/>
  <c r="C143" i="21"/>
  <c r="C142" i="21"/>
  <c r="C141" i="21"/>
  <c r="I140" i="21"/>
  <c r="H140" i="21"/>
  <c r="G140" i="21"/>
  <c r="F140" i="21"/>
  <c r="E140" i="21"/>
  <c r="D140" i="21"/>
  <c r="C140" i="21" s="1"/>
  <c r="C139" i="21"/>
  <c r="E138" i="21"/>
  <c r="D138" i="21"/>
  <c r="C138" i="21" s="1"/>
  <c r="C137" i="21"/>
  <c r="C136" i="21"/>
  <c r="I135" i="21"/>
  <c r="H135" i="21"/>
  <c r="G135" i="21"/>
  <c r="F135" i="21"/>
  <c r="E135" i="21"/>
  <c r="C134" i="21"/>
  <c r="C133" i="21"/>
  <c r="C132" i="21"/>
  <c r="C131" i="21"/>
  <c r="I130" i="21"/>
  <c r="H130" i="21"/>
  <c r="G130" i="21"/>
  <c r="F130" i="21"/>
  <c r="E130" i="21"/>
  <c r="D130" i="21"/>
  <c r="D128" i="21"/>
  <c r="C128" i="21" s="1"/>
  <c r="C127" i="21"/>
  <c r="C126" i="21"/>
  <c r="I125" i="21"/>
  <c r="H125" i="21"/>
  <c r="G125" i="21"/>
  <c r="F125" i="21"/>
  <c r="E125" i="21"/>
  <c r="C124" i="21"/>
  <c r="C123" i="21"/>
  <c r="C122" i="21"/>
  <c r="I121" i="21"/>
  <c r="H121" i="21"/>
  <c r="G121" i="21"/>
  <c r="F121" i="21"/>
  <c r="E121" i="21"/>
  <c r="C121" i="21" s="1"/>
  <c r="D121" i="21"/>
  <c r="C120" i="21"/>
  <c r="C119" i="21"/>
  <c r="C118" i="21"/>
  <c r="I117" i="21"/>
  <c r="H117" i="21"/>
  <c r="G117" i="21"/>
  <c r="E117" i="21"/>
  <c r="D117" i="21"/>
  <c r="C116" i="21"/>
  <c r="C115" i="21"/>
  <c r="C114" i="21"/>
  <c r="I113" i="21"/>
  <c r="H113" i="21"/>
  <c r="G113" i="21"/>
  <c r="F113" i="21"/>
  <c r="E113" i="21"/>
  <c r="D113" i="21"/>
  <c r="C113" i="21" s="1"/>
  <c r="C112" i="21"/>
  <c r="D111" i="21"/>
  <c r="C111" i="21" s="1"/>
  <c r="C110" i="21"/>
  <c r="I109" i="21"/>
  <c r="H109" i="21"/>
  <c r="G109" i="21"/>
  <c r="F109" i="21"/>
  <c r="E109" i="21"/>
  <c r="D109" i="21"/>
  <c r="C109" i="21" s="1"/>
  <c r="C108" i="21"/>
  <c r="D107" i="21"/>
  <c r="C107" i="21" s="1"/>
  <c r="C106" i="21"/>
  <c r="I105" i="21"/>
  <c r="H105" i="21"/>
  <c r="G105" i="21"/>
  <c r="F105" i="21"/>
  <c r="E105" i="21"/>
  <c r="C104" i="21"/>
  <c r="C103" i="21"/>
  <c r="C102" i="21"/>
  <c r="I101" i="21"/>
  <c r="H101" i="21"/>
  <c r="G101" i="21"/>
  <c r="F101" i="21"/>
  <c r="E101" i="21"/>
  <c r="D101" i="21"/>
  <c r="C101" i="21" s="1"/>
  <c r="C100" i="21"/>
  <c r="C99" i="21"/>
  <c r="C98" i="21"/>
  <c r="I97" i="21"/>
  <c r="H97" i="21"/>
  <c r="G97" i="21"/>
  <c r="E97" i="21"/>
  <c r="D97" i="21"/>
  <c r="C97" i="21" s="1"/>
  <c r="E96" i="21"/>
  <c r="C96" i="21"/>
  <c r="I95" i="21"/>
  <c r="H95" i="21"/>
  <c r="G95" i="21"/>
  <c r="F95" i="21"/>
  <c r="E95" i="21"/>
  <c r="E92" i="21" s="1"/>
  <c r="I94" i="21"/>
  <c r="H94" i="21"/>
  <c r="G94" i="21"/>
  <c r="G92" i="21" s="1"/>
  <c r="F94" i="21"/>
  <c r="C94" i="21" s="1"/>
  <c r="E94" i="21"/>
  <c r="D94" i="21"/>
  <c r="C93" i="21"/>
  <c r="I92" i="21"/>
  <c r="C91" i="21"/>
  <c r="E90" i="21"/>
  <c r="E87" i="21" s="1"/>
  <c r="D90" i="21"/>
  <c r="C90" i="21"/>
  <c r="C89" i="21"/>
  <c r="C88" i="21"/>
  <c r="I87" i="21"/>
  <c r="H87" i="21"/>
  <c r="G87" i="21"/>
  <c r="F87" i="21"/>
  <c r="D87" i="21"/>
  <c r="C86" i="21"/>
  <c r="E85" i="21"/>
  <c r="D85" i="21"/>
  <c r="C85" i="21" s="1"/>
  <c r="C84" i="21"/>
  <c r="C83" i="21"/>
  <c r="I82" i="21"/>
  <c r="H82" i="21"/>
  <c r="G82" i="21"/>
  <c r="F82" i="21"/>
  <c r="E82" i="21"/>
  <c r="C81" i="21"/>
  <c r="C80" i="21"/>
  <c r="C79" i="21"/>
  <c r="C78" i="21"/>
  <c r="I77" i="21"/>
  <c r="H77" i="21"/>
  <c r="G77" i="21"/>
  <c r="F77" i="21"/>
  <c r="E77" i="21"/>
  <c r="D77" i="21"/>
  <c r="C76" i="21"/>
  <c r="C75" i="21"/>
  <c r="C74" i="21"/>
  <c r="I73" i="21"/>
  <c r="H73" i="21"/>
  <c r="G73" i="21"/>
  <c r="F73" i="21"/>
  <c r="E73" i="21"/>
  <c r="D73" i="21"/>
  <c r="C72" i="21"/>
  <c r="C71" i="21"/>
  <c r="C70" i="21"/>
  <c r="I69" i="21"/>
  <c r="H69" i="21"/>
  <c r="G69" i="21"/>
  <c r="F69" i="21"/>
  <c r="E69" i="21"/>
  <c r="D69" i="21"/>
  <c r="C69" i="21" s="1"/>
  <c r="I68" i="21"/>
  <c r="H68" i="21"/>
  <c r="G68" i="21"/>
  <c r="C68" i="21" s="1"/>
  <c r="F68" i="21"/>
  <c r="E68" i="21"/>
  <c r="D68" i="21"/>
  <c r="I67" i="21"/>
  <c r="H67" i="21"/>
  <c r="G67" i="21"/>
  <c r="F67" i="21"/>
  <c r="F64" i="21" s="1"/>
  <c r="E67" i="21"/>
  <c r="D67" i="21"/>
  <c r="I66" i="21"/>
  <c r="H66" i="21"/>
  <c r="H64" i="21" s="1"/>
  <c r="G66" i="21"/>
  <c r="G64" i="21" s="1"/>
  <c r="F66" i="21"/>
  <c r="E66" i="21"/>
  <c r="C65" i="21"/>
  <c r="D64" i="21"/>
  <c r="C63" i="21"/>
  <c r="C62" i="21"/>
  <c r="C61" i="21"/>
  <c r="C60" i="21"/>
  <c r="I59" i="21"/>
  <c r="H59" i="21"/>
  <c r="G59" i="21"/>
  <c r="F59" i="21"/>
  <c r="E59" i="21"/>
  <c r="D59" i="21"/>
  <c r="C59" i="21" s="1"/>
  <c r="C58" i="21"/>
  <c r="E57" i="21"/>
  <c r="E54" i="21" s="1"/>
  <c r="D57" i="21"/>
  <c r="C56" i="21"/>
  <c r="C55" i="21"/>
  <c r="I54" i="21"/>
  <c r="H54" i="21"/>
  <c r="G54" i="21"/>
  <c r="F54" i="21"/>
  <c r="D54" i="21"/>
  <c r="I53" i="21"/>
  <c r="H53" i="21"/>
  <c r="G53" i="21"/>
  <c r="F53" i="21"/>
  <c r="E53" i="21"/>
  <c r="C53" i="21" s="1"/>
  <c r="D53" i="21"/>
  <c r="I52" i="21"/>
  <c r="H52" i="21"/>
  <c r="G52" i="21"/>
  <c r="F52" i="21"/>
  <c r="I51" i="21"/>
  <c r="H51" i="21"/>
  <c r="G51" i="21"/>
  <c r="F51" i="21"/>
  <c r="E51" i="21"/>
  <c r="D51" i="21"/>
  <c r="C51" i="21" s="1"/>
  <c r="I50" i="21"/>
  <c r="I49" i="21" s="1"/>
  <c r="H50" i="21"/>
  <c r="H49" i="21" s="1"/>
  <c r="G50" i="21"/>
  <c r="G49" i="21" s="1"/>
  <c r="F50" i="21"/>
  <c r="F49" i="21" s="1"/>
  <c r="E50" i="21"/>
  <c r="D50" i="21"/>
  <c r="C50" i="21" s="1"/>
  <c r="C47" i="21"/>
  <c r="C46" i="21"/>
  <c r="C45" i="21"/>
  <c r="C44" i="21"/>
  <c r="I43" i="21"/>
  <c r="H43" i="21"/>
  <c r="G43" i="21"/>
  <c r="F43" i="21"/>
  <c r="E43" i="21"/>
  <c r="D43" i="21"/>
  <c r="C43" i="21" s="1"/>
  <c r="C42" i="21"/>
  <c r="B42" i="21"/>
  <c r="B47" i="21" s="1"/>
  <c r="C41" i="21"/>
  <c r="B41" i="21"/>
  <c r="B46" i="21" s="1"/>
  <c r="C40" i="21"/>
  <c r="B40" i="21"/>
  <c r="B45" i="21" s="1"/>
  <c r="C39" i="21"/>
  <c r="B39" i="21"/>
  <c r="B44" i="21" s="1"/>
  <c r="I38" i="21"/>
  <c r="H38" i="21"/>
  <c r="G38" i="21"/>
  <c r="F38" i="21"/>
  <c r="E38" i="21"/>
  <c r="D38" i="21"/>
  <c r="I37" i="21"/>
  <c r="I31" i="21" s="1"/>
  <c r="H37" i="21"/>
  <c r="G37" i="21"/>
  <c r="G31" i="21" s="1"/>
  <c r="F37" i="21"/>
  <c r="F31" i="21" s="1"/>
  <c r="E37" i="21"/>
  <c r="E31" i="21" s="1"/>
  <c r="D37" i="21"/>
  <c r="C37" i="21" s="1"/>
  <c r="I36" i="21"/>
  <c r="I30" i="21" s="1"/>
  <c r="H36" i="21"/>
  <c r="H30" i="21" s="1"/>
  <c r="G36" i="21"/>
  <c r="F36" i="21"/>
  <c r="F30" i="21" s="1"/>
  <c r="E36" i="21"/>
  <c r="D36" i="21"/>
  <c r="I35" i="21"/>
  <c r="I29" i="21" s="1"/>
  <c r="H35" i="21"/>
  <c r="G35" i="21"/>
  <c r="G29" i="21" s="1"/>
  <c r="F35" i="21"/>
  <c r="E35" i="21"/>
  <c r="E29" i="21" s="1"/>
  <c r="D35" i="21"/>
  <c r="D29" i="21" s="1"/>
  <c r="C35" i="21"/>
  <c r="I34" i="21"/>
  <c r="H34" i="21"/>
  <c r="H33" i="21" s="1"/>
  <c r="G34" i="21"/>
  <c r="F34" i="21"/>
  <c r="F33" i="21" s="1"/>
  <c r="E34" i="21"/>
  <c r="E33" i="21" s="1"/>
  <c r="D34" i="21"/>
  <c r="C34" i="21" s="1"/>
  <c r="G33" i="21"/>
  <c r="H31" i="21"/>
  <c r="D31" i="21"/>
  <c r="G30" i="21"/>
  <c r="H29" i="21"/>
  <c r="F29" i="21"/>
  <c r="I28" i="21"/>
  <c r="G28" i="21"/>
  <c r="E28" i="21"/>
  <c r="I24" i="21"/>
  <c r="H24" i="21"/>
  <c r="G24" i="21"/>
  <c r="F24" i="21"/>
  <c r="D24" i="21"/>
  <c r="G23" i="21"/>
  <c r="H22" i="21"/>
  <c r="D22" i="21"/>
  <c r="I21" i="21"/>
  <c r="H21" i="21"/>
  <c r="G21" i="21"/>
  <c r="F21" i="21"/>
  <c r="E21" i="21"/>
  <c r="D21" i="21"/>
  <c r="C21" i="21" s="1"/>
  <c r="H19" i="21"/>
  <c r="F19" i="21"/>
  <c r="F14" i="21" s="1"/>
  <c r="I18" i="21"/>
  <c r="G18" i="21"/>
  <c r="G13" i="21" s="1"/>
  <c r="E18" i="21"/>
  <c r="H17" i="21"/>
  <c r="H12" i="21" s="1"/>
  <c r="F17" i="21"/>
  <c r="I16" i="21"/>
  <c r="G16" i="21"/>
  <c r="E16" i="21"/>
  <c r="G437" i="21" l="1"/>
  <c r="G435" i="21" s="1"/>
  <c r="G441" i="21"/>
  <c r="I437" i="21"/>
  <c r="I435" i="21" s="1"/>
  <c r="I441" i="21"/>
  <c r="F22" i="21"/>
  <c r="F12" i="21" s="1"/>
  <c r="F313" i="21"/>
  <c r="I447" i="21"/>
  <c r="I438" i="21"/>
  <c r="I23" i="21"/>
  <c r="I314" i="21"/>
  <c r="C31" i="21"/>
  <c r="C38" i="21"/>
  <c r="C73" i="21"/>
  <c r="C325" i="21"/>
  <c r="D349" i="21"/>
  <c r="C349" i="21" s="1"/>
  <c r="C421" i="21"/>
  <c r="I64" i="21"/>
  <c r="C77" i="21"/>
  <c r="I27" i="21"/>
  <c r="C57" i="21"/>
  <c r="C67" i="21"/>
  <c r="C117" i="21"/>
  <c r="E145" i="21"/>
  <c r="G230" i="21"/>
  <c r="C289" i="21"/>
  <c r="G328" i="21"/>
  <c r="C442" i="21"/>
  <c r="C36" i="21"/>
  <c r="D95" i="21"/>
  <c r="E230" i="21"/>
  <c r="C419" i="21"/>
  <c r="H457" i="21"/>
  <c r="C130" i="21"/>
  <c r="F259" i="21"/>
  <c r="C375" i="21"/>
  <c r="G447" i="21"/>
  <c r="I457" i="21"/>
  <c r="I13" i="21"/>
  <c r="I33" i="21"/>
  <c r="C66" i="21"/>
  <c r="F92" i="21"/>
  <c r="D105" i="21"/>
  <c r="C105" i="21" s="1"/>
  <c r="C150" i="21"/>
  <c r="D204" i="21"/>
  <c r="C204" i="21" s="1"/>
  <c r="D233" i="21"/>
  <c r="D197" i="21" s="1"/>
  <c r="E247" i="21"/>
  <c r="C247" i="21" s="1"/>
  <c r="E271" i="21"/>
  <c r="C271" i="21" s="1"/>
  <c r="D313" i="21"/>
  <c r="C313" i="21" s="1"/>
  <c r="G399" i="21"/>
  <c r="D408" i="21"/>
  <c r="C408" i="21" s="1"/>
  <c r="F416" i="21"/>
  <c r="H447" i="21"/>
  <c r="C449" i="21"/>
  <c r="E168" i="21"/>
  <c r="D158" i="21"/>
  <c r="C158" i="21" s="1"/>
  <c r="H259" i="21"/>
  <c r="C327" i="21"/>
  <c r="F328" i="21"/>
  <c r="C341" i="21"/>
  <c r="H14" i="21"/>
  <c r="H92" i="21"/>
  <c r="F230" i="21"/>
  <c r="C263" i="21"/>
  <c r="G271" i="21"/>
  <c r="C275" i="21"/>
  <c r="C299" i="21"/>
  <c r="C345" i="21"/>
  <c r="H416" i="21"/>
  <c r="E441" i="21"/>
  <c r="C451" i="21"/>
  <c r="C460" i="21"/>
  <c r="E450" i="21"/>
  <c r="E447" i="21" s="1"/>
  <c r="C457" i="21"/>
  <c r="E452" i="21"/>
  <c r="C455" i="21"/>
  <c r="G27" i="21"/>
  <c r="C29" i="21"/>
  <c r="C54" i="21"/>
  <c r="C87" i="21"/>
  <c r="I194" i="21"/>
  <c r="C168" i="21"/>
  <c r="E184" i="21"/>
  <c r="E22" i="21"/>
  <c r="I184" i="21"/>
  <c r="I182" i="21" s="1"/>
  <c r="I22" i="21"/>
  <c r="I20" i="21" s="1"/>
  <c r="E64" i="21"/>
  <c r="C64" i="21" s="1"/>
  <c r="D82" i="21"/>
  <c r="C82" i="21" s="1"/>
  <c r="D92" i="21"/>
  <c r="C92" i="21" s="1"/>
  <c r="D125" i="21"/>
  <c r="C125" i="21" s="1"/>
  <c r="D135" i="21"/>
  <c r="C135" i="21" s="1"/>
  <c r="D145" i="21"/>
  <c r="C145" i="21" s="1"/>
  <c r="D155" i="21"/>
  <c r="C155" i="21" s="1"/>
  <c r="D160" i="21"/>
  <c r="C160" i="21" s="1"/>
  <c r="D165" i="21"/>
  <c r="E165" i="21"/>
  <c r="G196" i="21"/>
  <c r="G194" i="21" s="1"/>
  <c r="C202" i="21"/>
  <c r="D199" i="21"/>
  <c r="F199" i="21"/>
  <c r="F197" i="21"/>
  <c r="C233" i="21"/>
  <c r="D230" i="21"/>
  <c r="H230" i="21"/>
  <c r="H197" i="21"/>
  <c r="C315" i="21"/>
  <c r="E323" i="21"/>
  <c r="E313" i="21"/>
  <c r="E311" i="21" s="1"/>
  <c r="G323" i="21"/>
  <c r="G313" i="21"/>
  <c r="G311" i="21" s="1"/>
  <c r="I323" i="21"/>
  <c r="I313" i="21"/>
  <c r="I311" i="21" s="1"/>
  <c r="E11" i="21"/>
  <c r="G11" i="21"/>
  <c r="I11" i="21"/>
  <c r="D16" i="21"/>
  <c r="F16" i="21"/>
  <c r="H16" i="21"/>
  <c r="E17" i="21"/>
  <c r="E12" i="21" s="1"/>
  <c r="G17" i="21"/>
  <c r="I17" i="21"/>
  <c r="D18" i="21"/>
  <c r="F18" i="21"/>
  <c r="H18" i="21"/>
  <c r="E19" i="21"/>
  <c r="G19" i="21"/>
  <c r="G14" i="21" s="1"/>
  <c r="I19" i="21"/>
  <c r="I14" i="21" s="1"/>
  <c r="D28" i="21"/>
  <c r="F28" i="21"/>
  <c r="F27" i="21" s="1"/>
  <c r="H28" i="21"/>
  <c r="H27" i="21" s="1"/>
  <c r="D33" i="21"/>
  <c r="C33" i="21" s="1"/>
  <c r="C203" i="21"/>
  <c r="E198" i="21"/>
  <c r="C198" i="21" s="1"/>
  <c r="C365" i="21"/>
  <c r="C402" i="21"/>
  <c r="D399" i="21"/>
  <c r="D376" i="21"/>
  <c r="F399" i="21"/>
  <c r="F376" i="21"/>
  <c r="H399" i="21"/>
  <c r="H376" i="21"/>
  <c r="D259" i="21"/>
  <c r="C259" i="21" s="1"/>
  <c r="D326" i="21"/>
  <c r="F326" i="21"/>
  <c r="H326" i="21"/>
  <c r="D328" i="21"/>
  <c r="C328" i="21" s="1"/>
  <c r="D363" i="21"/>
  <c r="C377" i="21"/>
  <c r="E399" i="21"/>
  <c r="E373" i="21"/>
  <c r="E363" i="21"/>
  <c r="E361" i="21" s="1"/>
  <c r="G373" i="21"/>
  <c r="G363" i="21"/>
  <c r="G361" i="21" s="1"/>
  <c r="I373" i="21"/>
  <c r="I363" i="21"/>
  <c r="I361" i="21" s="1"/>
  <c r="F437" i="21"/>
  <c r="F435" i="21" s="1"/>
  <c r="F441" i="21"/>
  <c r="H437" i="21"/>
  <c r="H435" i="21" s="1"/>
  <c r="H441" i="21"/>
  <c r="D416" i="21"/>
  <c r="C416" i="21" s="1"/>
  <c r="D436" i="21"/>
  <c r="C436" i="21" s="1"/>
  <c r="D443" i="21"/>
  <c r="D445" i="21"/>
  <c r="D450" i="21"/>
  <c r="D452" i="21"/>
  <c r="C452" i="21" s="1"/>
  <c r="D185" i="21" l="1"/>
  <c r="D182" i="21" s="1"/>
  <c r="D194" i="21"/>
  <c r="C95" i="21"/>
  <c r="D52" i="21"/>
  <c r="I12" i="21"/>
  <c r="E438" i="21"/>
  <c r="E435" i="21" s="1"/>
  <c r="C165" i="21"/>
  <c r="C445" i="21"/>
  <c r="D439" i="21"/>
  <c r="C439" i="21" s="1"/>
  <c r="D19" i="21"/>
  <c r="C363" i="21"/>
  <c r="H314" i="21"/>
  <c r="H311" i="21" s="1"/>
  <c r="H323" i="21"/>
  <c r="D314" i="21"/>
  <c r="C326" i="21"/>
  <c r="D323" i="21"/>
  <c r="H364" i="21"/>
  <c r="H361" i="21" s="1"/>
  <c r="H373" i="21"/>
  <c r="F364" i="21"/>
  <c r="F361" i="21" s="1"/>
  <c r="F373" i="21"/>
  <c r="D364" i="21"/>
  <c r="C364" i="21" s="1"/>
  <c r="C376" i="21"/>
  <c r="D373" i="21"/>
  <c r="C18" i="21"/>
  <c r="H15" i="21"/>
  <c r="H11" i="21"/>
  <c r="C16" i="21"/>
  <c r="D11" i="21"/>
  <c r="H194" i="21"/>
  <c r="H185" i="21"/>
  <c r="H182" i="21" s="1"/>
  <c r="H23" i="21"/>
  <c r="H20" i="21" s="1"/>
  <c r="C230" i="21"/>
  <c r="C197" i="21"/>
  <c r="F194" i="21"/>
  <c r="F23" i="21"/>
  <c r="F20" i="21" s="1"/>
  <c r="F185" i="21"/>
  <c r="C199" i="21"/>
  <c r="E52" i="21"/>
  <c r="C196" i="21"/>
  <c r="E15" i="21"/>
  <c r="C450" i="21"/>
  <c r="D447" i="21"/>
  <c r="C447" i="21" s="1"/>
  <c r="D438" i="21"/>
  <c r="C438" i="21" s="1"/>
  <c r="C443" i="21"/>
  <c r="D437" i="21"/>
  <c r="D441" i="21"/>
  <c r="C441" i="21" s="1"/>
  <c r="D17" i="21"/>
  <c r="F314" i="21"/>
  <c r="F311" i="21" s="1"/>
  <c r="F323" i="21"/>
  <c r="C399" i="21"/>
  <c r="E186" i="21"/>
  <c r="C186" i="21" s="1"/>
  <c r="E24" i="21"/>
  <c r="C24" i="21" s="1"/>
  <c r="C28" i="21"/>
  <c r="F15" i="21"/>
  <c r="F11" i="21"/>
  <c r="I10" i="21"/>
  <c r="G22" i="21"/>
  <c r="G20" i="21" s="1"/>
  <c r="G184" i="21"/>
  <c r="G182" i="21" s="1"/>
  <c r="E194" i="21"/>
  <c r="C194" i="21" s="1"/>
  <c r="G15" i="21"/>
  <c r="I15" i="21"/>
  <c r="C184" i="21" l="1"/>
  <c r="D30" i="21"/>
  <c r="D27" i="21" s="1"/>
  <c r="D49" i="21"/>
  <c r="E14" i="21"/>
  <c r="D23" i="21"/>
  <c r="D13" i="21" s="1"/>
  <c r="C373" i="21"/>
  <c r="C17" i="21"/>
  <c r="D12" i="21"/>
  <c r="D10" i="21" s="1"/>
  <c r="D435" i="21"/>
  <c r="C435" i="21" s="1"/>
  <c r="C437" i="21"/>
  <c r="C22" i="21"/>
  <c r="C11" i="21"/>
  <c r="H13" i="21"/>
  <c r="H10" i="21" s="1"/>
  <c r="C323" i="21"/>
  <c r="C314" i="21"/>
  <c r="D311" i="21"/>
  <c r="C311" i="21" s="1"/>
  <c r="E182" i="21"/>
  <c r="F13" i="21"/>
  <c r="F10" i="21" s="1"/>
  <c r="E49" i="21"/>
  <c r="C49" i="21" s="1"/>
  <c r="E23" i="21"/>
  <c r="C23" i="21" s="1"/>
  <c r="E30" i="21"/>
  <c r="C52" i="21"/>
  <c r="C185" i="21"/>
  <c r="F182" i="21"/>
  <c r="D15" i="21"/>
  <c r="C15" i="21" s="1"/>
  <c r="G12" i="21"/>
  <c r="G10" i="21" s="1"/>
  <c r="D20" i="21"/>
  <c r="D361" i="21"/>
  <c r="C361" i="21" s="1"/>
  <c r="C19" i="21"/>
  <c r="D14" i="21"/>
  <c r="C14" i="21" l="1"/>
  <c r="E27" i="21"/>
  <c r="C27" i="21" s="1"/>
  <c r="C30" i="21"/>
  <c r="C182" i="21"/>
  <c r="C12" i="21"/>
  <c r="E13" i="21"/>
  <c r="E20" i="21"/>
  <c r="C20" i="21" s="1"/>
  <c r="E10" i="21" l="1"/>
  <c r="C10" i="21" s="1"/>
  <c r="C13" i="21"/>
</calcChain>
</file>

<file path=xl/sharedStrings.xml><?xml version="1.0" encoding="utf-8"?>
<sst xmlns="http://schemas.openxmlformats.org/spreadsheetml/2006/main" count="1924" uniqueCount="270">
  <si>
    <t>Номер строки целевых показателей, на достижение которых направлены мероприятия</t>
  </si>
  <si>
    <t>всего</t>
  </si>
  <si>
    <t>2015 год</t>
  </si>
  <si>
    <t>2016 год</t>
  </si>
  <si>
    <t>2017 год</t>
  </si>
  <si>
    <t>2018 год</t>
  </si>
  <si>
    <t>2019 год</t>
  </si>
  <si>
    <t>2020 год</t>
  </si>
  <si>
    <t>Всего по муниципальной программе, в том числе:</t>
  </si>
  <si>
    <t xml:space="preserve"> </t>
  </si>
  <si>
    <t>областной бюджет</t>
  </si>
  <si>
    <t>местный бюджет</t>
  </si>
  <si>
    <t>внебюджетные источники</t>
  </si>
  <si>
    <t>ПОДПРОГРАММА 1 "РАЗВИТИЕ КУЛЬТУРЫ И ИСКУССТВА"</t>
  </si>
  <si>
    <t>Всего по подпрограмме, в том числе:</t>
  </si>
  <si>
    <t>ПОДПРОГРАММА 2 "РАЗВИТИЕ ОБРАЗОВАНИЯ В СФЕРЕ КУЛЬТУРЫ И ИСКУССТВА"</t>
  </si>
  <si>
    <t>ПОДПРОГРАММА 4 «ДОСТУПНАЯ СРЕДА»</t>
  </si>
  <si>
    <t>ПОДПРОГРАММА 5 «УКРЕПЛЕНИЕ ЕДИНСТВА РОССИЙСКОЙ НАЦИИ И ЭТНОКУЛЬТУРНОЕ РАЗВИТИЕ НАРОДОВ, ПРОЖИВАЮЩИХ В КУШВИНСКОМ ГОРОДСКОМ ОКРУГЕ»</t>
  </si>
  <si>
    <t>ПОДПРОГРАММА 6 "ОБЕСПЕЧЕНИЕ РЕАЛИЗАЦИИ МУНИЦИПАЛЬНОЙ ПРОГРАММЫ "РАЗВИТИЕ КУЛЬТУРЫ В КУШВИНСКОМ ГОРОДСКОМ ОКРУГЕ ДО 2020 ГОДА"</t>
  </si>
  <si>
    <t>Задача 1. Повышение доступности и качества услуг, оказываемых населению в сфере культуры</t>
  </si>
  <si>
    <t>1. Капитальные вложения</t>
  </si>
  <si>
    <t>Всего по направлению «Капитальные вложения", в том числе:</t>
  </si>
  <si>
    <t>2. Прочие нужды</t>
  </si>
  <si>
    <t>Всего по направлению "Прочие нужды", в том числе:</t>
  </si>
  <si>
    <t>Мероприятие 2.2. Организация деятельности учреждений  культурно-досуговой сферы,  приобретение специального оборудования всего, из них:</t>
  </si>
  <si>
    <t>Мероприятие 3. Обеспечение мероприятий по реализации мер противодействия распространению наркомании, алкоголизма и токсикомании, профилактики правонарушений на территории Кушвинского городского округа, всего, из них:</t>
  </si>
  <si>
    <t>Мероприятие 4. Реализация мероприятий в сфере культуры, направленных на патриотическое воспитание граждан Кушвинского городского округа, всего, из них:</t>
  </si>
  <si>
    <t>Мероприятие 5.1.Субсидии на капитальный ремонт помещения муниципального автономного учреждения культуры Кушвинского городского округа «Кушвинский дворец культуры, расположенного по адресу: г.Кушва, пл. Культуры, 1</t>
  </si>
  <si>
    <t>Мероприятие 5.2. Субсидии на капитальный ремонт помещения муниципального автономного учреждения культуры Кушвинского городского округа «Кушвинский дворец культуры (Клуб дер. В.Баранча, клуб дер. Мостовая, расположенных по адресу: г.Кушва, дер. В.Баранча, дер. Мостовая)</t>
  </si>
  <si>
    <t>Мероприятие 5.3.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(Центральная городская библиотека) расположенного по адресу: г. Кушва, ул. Фадеевых, 20</t>
  </si>
  <si>
    <t>Мероприятие 5.4.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(Баранчинская поселковая библиотека), расположенного по адресу: пос. Баранчинский, ул. Коммуны, 43</t>
  </si>
  <si>
    <t>Мероприятие 5.5.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(Городская детская библиотека, библиотека №1), расположенных по адресу: г. Кушва, ул. Луначарского, 10,  ул. Линейная, 19</t>
  </si>
  <si>
    <t>Мероприятие 5.6. Субсидии на проектные работы муниципального автономного учреждения культуры Кушвинского городского округа «Центр культуры и досуга пос. Баранчинский», расположенного по адресу: пос. Баранчинский, ул. Ленина, 1</t>
  </si>
  <si>
    <t>Мероприятие 5.7. Субсидии на капитальный ремонт помещения муниципального автономного учреждения культуры Кушвинского городского округа Кинотеатр «Феникс», расположенного по адресу: г. Кушва, ул. Союзов, 1а</t>
  </si>
  <si>
    <t>Мероприятие 8.1. Субсидии на организацию выставки детского творчества детских школ искусств Горнозаводского управленческого округа «Мой город» (Кушвинская художественная школа)</t>
  </si>
  <si>
    <t xml:space="preserve"> Мероприятие 8.2. Субсидии на организацию областной выставки-конкурса детского творчества</t>
  </si>
  <si>
    <t xml:space="preserve"> Мероприятие 8.3.Субсидии на организацию областного фестиваля-конкурса юных музыкантов «Таланты горы Благодать»</t>
  </si>
  <si>
    <t>Мероприятие 8.4. Субсидии на организацию областного фестиваля-конкурса ансамблей и оркестров народных инструментов «Андреевские встречи»</t>
  </si>
  <si>
    <t xml:space="preserve"> областной бюджет</t>
  </si>
  <si>
    <t>ПОДПРОГРАММА 3 "РАЗВИТИЕ ТУРИЗМА В КУШВИНСКОМ ГОРОДСКОМ ОКРУГЕ"</t>
  </si>
  <si>
    <t>Всего по подпрограмме, в том числе</t>
  </si>
  <si>
    <t>Мероприятие 12.1  Субсидии на капитальный ремонт помещения муниципального бюджетного учреждения культуры  Кушвинского городского округа «Кушвинский краеведческий музей»,  расположенного по адресу: г. Кушва. Ул. Фадеевых,39.</t>
  </si>
  <si>
    <t>Мероприятие 12.2. Обеспечение мероприятий по укреплению и развитию материально-технической базы муниципального бюджетного учреждения культуры Кушвинского городского округа «Кушвинский краеведческий музей», расположенного по адресу: г. Кушва, ул. Фадеевых, 39, всего, из них:</t>
  </si>
  <si>
    <t>Мероприятие 17.1. Обеспечение проведения необходимых мероприятий в муниципальных библиотеках, всего, из них:</t>
  </si>
  <si>
    <t xml:space="preserve"> Мероприятие 17.2. Обеспечение проведения необходимых мероприятий в учреждениях культурно-досугового типа, всего, из них</t>
  </si>
  <si>
    <t>Мероприятие 17.3. Обеспечение проведения необходимых мероприятий в образовательных организациях (учреждениях), всего, из них</t>
  </si>
  <si>
    <t>Мероприятие 17.4. Обеспечение проведения необходимых мероприятий в здании Кушвинского городского музея, всего, из них</t>
  </si>
  <si>
    <t xml:space="preserve"> Всего по подпрограмме, в том числе:</t>
  </si>
  <si>
    <t>Без финансовых затрат</t>
  </si>
  <si>
    <t>20.1. Разработка муниципальной правовой базы, регулирующей основные направления межнационального и межконфессионального взаимодействия на территории Кушвинского городского округа</t>
  </si>
  <si>
    <t>20.2. Проведение мониторинга состояния работы по межнациональному и межконфессиональному взаимодействию на территории городского округа</t>
  </si>
  <si>
    <t>20.3. Проведение мониторинга среди муниципальных библиотек в части наличия, состава, состояния и использования книжных фондов на языках народов России</t>
  </si>
  <si>
    <t>20.4. Организация работы Консультативного совета по вопросам межнационального и межконфессионального взаимодействия</t>
  </si>
  <si>
    <t>21.1. Организация  проведения торжественных городских мероприятий</t>
  </si>
  <si>
    <t xml:space="preserve">21.2. Организация проведения национальных праздников, фестивалей, способствующих укреплению межнациональных и межконфессиональных отношений </t>
  </si>
  <si>
    <t>21.3. Приобретение литературы на языках народов России</t>
  </si>
  <si>
    <t xml:space="preserve">22.1. Организация создания и размещения в средствах массовой информации информационных материалов о многообразии национальных культур и религий </t>
  </si>
  <si>
    <t>22.2. Организация создания, изготовления и распространения социальной рекламы по вопросам межнациональных и межконфессиональных отношений</t>
  </si>
  <si>
    <t>22.3. Организация создания и распространения буклетов, электронных презентаций по вопросам межнациональных и межконфессиональных отношений</t>
  </si>
  <si>
    <t>федеральный бюджет</t>
  </si>
  <si>
    <t>1.      Капитальные вложения</t>
  </si>
  <si>
    <t>2.      Прочие нужды</t>
  </si>
  <si>
    <t xml:space="preserve"> Всего по направлению «Капитальные вложения», в том числе:</t>
  </si>
  <si>
    <t>Капитальные вложения, всего:</t>
  </si>
  <si>
    <t>Прочие нужды, всего:</t>
  </si>
  <si>
    <t>Мероприятие 2.1. Приобретение специального оборудования для хранения библиотечных фондов муниципальных библиотек, всего, из них:</t>
  </si>
  <si>
    <t>№ строки</t>
  </si>
  <si>
    <t>Объем расходов на выполнение мероприятия за счет всех источников ресурсного обеспечения, рублей</t>
  </si>
  <si>
    <t>Мероприятие 10.1.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«Кушвинская детская музыкальная школа», расположенного по адресу: г.Кушва, ул. Луначарского, 5.</t>
  </si>
  <si>
    <t>Мероприятие 10.2.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«Кушвинской художественной школы», расположенного по адресу: г.Кушва, ул. Станционная,80.</t>
  </si>
  <si>
    <t>Мероприятие 10.3.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«Кушвинской художественной школы», расположенного по адресу: г.Кушва, ул.Кузьмина, 9.</t>
  </si>
  <si>
    <t xml:space="preserve"> Всего по направлению "Прочие нужды", в том числе:</t>
  </si>
  <si>
    <t>4 - 16</t>
  </si>
  <si>
    <t>19 - 24</t>
  </si>
  <si>
    <t>27 - 31</t>
  </si>
  <si>
    <t>34, 35</t>
  </si>
  <si>
    <t>38 - 41</t>
  </si>
  <si>
    <t>44 - 48</t>
  </si>
  <si>
    <t>Мероприятие 2.  Обеспечение мероприятий по укреплению и развитию материально-технической базы муниципальных учреждений культуры, всего, из них:</t>
  </si>
  <si>
    <t xml:space="preserve">Мероприятие 5. Проведение ремонтных работ в зданиях и помещениях,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 всего, из них: </t>
  </si>
  <si>
    <t>ПЛАН
мероприятий по выполнению муниципальной программы "Развитие культуры в Кушвинском городском округе до 2020 года"</t>
  </si>
  <si>
    <t>Наименование мероприятия / источники расходов на финансирование мероприятия</t>
  </si>
  <si>
    <t>Мероприятие 1.  Мероприятия в сфере культуры, всего, из них:</t>
  </si>
  <si>
    <t>Приложение № 2</t>
  </si>
  <si>
    <t>Мероприятие 5.8.  Проведение ремонтных работ в здании Кушвинского краеведческого музея, приведение в соответствие с требованиями норм пожарной безопасности и санитарного законодательства и (или) оснащение  специальным оборудованием,  инвентарем , всего, из них:</t>
  </si>
  <si>
    <t>Мероприятие 6.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всего, из них:</t>
  </si>
  <si>
    <t>Задача 2. Сохранение и развитие художественного образования на территории Кушвинского городского округа, системы поддержки творческой деятельности, талантливой молодежи, одаренных детей</t>
  </si>
  <si>
    <t>Задача 3. Создание условий для развития туризма на территории Кушвинского городского округа</t>
  </si>
  <si>
    <t>Задача 4. Повышение доступности учреждений и качества услуг, оказываемых инвалидам и другим маломобильным группам</t>
  </si>
  <si>
    <t>Задача 6. Совершенствование организационных, экономических и правовых механизмов развития культуры</t>
  </si>
  <si>
    <t xml:space="preserve">к муниципальной программе "Развитие культуры в Кушвинском городском округе до 2020 года"                           </t>
  </si>
  <si>
    <t>Мероприятие 12. Организация предоставления дополнительного образования детям в сфере искусств</t>
  </si>
  <si>
    <t>Мероприятие 13. Обеспечение мероприятий, направленных на поддержку творческих проектов, одаренных детей и молодежи в Кушвинском городском округе, всего, из них:</t>
  </si>
  <si>
    <t>Мероприятие 14. Проведение ремонтных работ в зданиях и помещениях, в которых размещаются муниципальные образовательные организации (учреждения), всего, из них:</t>
  </si>
  <si>
    <t>Мероприятие 17. Информатизация муниципальных музеев, в том числе приобретение компьютерного оборудования и лицензионного программного обеспечения, подключение Кушвинского краеведческого музея к сети Интернет, всего, из них:</t>
  </si>
  <si>
    <t>Мероприятие 18. Создание музейных интерьеров, интерактивных программ, виртуальных проектов, экспозиций и выставок Кушвинского краеведческого музея,  всего, из них:</t>
  </si>
  <si>
    <t>Мероприятие 19. Обучение специалистов на семинарах, практикумах, тренингах, участие в выставках, конференциях различного уровня, всего, из них:</t>
  </si>
  <si>
    <t>Мероприятие 20. Обеспечение мероприятий по реализации издательских проектов, всего, из них:</t>
  </si>
  <si>
    <t>Мероприятие 21. Обеспечение мероприятий по разработке и сертификации экскурсионных маршрутов</t>
  </si>
  <si>
    <t>Мероприятие 22. Обеспечение физической и информационной доступности учреждений культуры (в том числе оборудование входных групп, сооружение пандусов, приспособление путей движения внутри зданий, оборудование накладными пандусами,   создание условий доступности санитарных комнат, установка средств связи, информации и сигнализации  (указателей и табличек, упрощающих ориентацию), всего, из них:</t>
  </si>
  <si>
    <t>Мероприятие 23. Проведение цикла мероприятий для людей с ограниченными возможностями здоровья и других маломобильных групп населения, всего, из них:</t>
  </si>
  <si>
    <t>Мероприятие 24. Организация и проведение паспортизации учреждений культуры, всего, из них:</t>
  </si>
  <si>
    <t>Мероприятие 25. Проведение мероприятий по  организационно-правовому обеспечению сферы межнациональных  и межконфессиональных отношений, всего, из них:</t>
  </si>
  <si>
    <t>Мероприятие 26. Мероприятия, способствующие развитию национально-культурного взаимодействия представителей различных национальностей и конфессий, установлению гармоничных взаимоотношений, всего, из них:</t>
  </si>
  <si>
    <t>Мероприятие 27. Организация мероприятий по информационному сопровождению, научно-методическому обеспечению сферы межнациональных и межконфессиональных отношений, всего, из них:</t>
  </si>
  <si>
    <t>Мероприятие 29. Административно-хозяйственное обеспечение деятельности отраслевого органа Управления культуры Кушвинсского городского округа, всего, из них:</t>
  </si>
  <si>
    <t>Мероприятие 8.  Организация деятельности муниципальных музеев, приобретение и хранение музейных предметов и музейных коллекций, всего, из них:</t>
  </si>
  <si>
    <t>Мероприятие 9. Организация библиотечного обслуживания населения, формирование и хранение библиотечных фондов муниципальных библиотек, всего, из них:</t>
  </si>
  <si>
    <t>Мероприятие 10. Организация деятельности муниципальных учреждений культуры и искусства культурно-досуговой сферы</t>
  </si>
  <si>
    <t>Мероприятие 16. Предоставление субсидий муниципальным образовательным организациям (учреждениям) Кушвинского городского округа на модернизацию материально-технической и фондовой базы, всего, из них:</t>
  </si>
  <si>
    <t>Мероприятие 7. Организация центров общественного доступа к сети Интернет на базе муниципальных библиотек , всего, из них:</t>
  </si>
  <si>
    <t>Мероприятие 15. Обеспечение мероприятий по реализации мер противодействия распространению наркомании, алкоголизма и токсикомании, профилактики правонарушений на территории Кушвинского городского округа, всего, из них:</t>
  </si>
  <si>
    <t>Мероприятие 28. Обеспечение деятельности органов местного самоуправления (органов местной администрации) (центральный аппарат), всего, из них:</t>
  </si>
  <si>
    <t>Мероприятие 1.  Строительство пристроя к зданию Баранчинского центра культуры и досуга</t>
  </si>
  <si>
    <t>Мероприятие 10.1.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</si>
  <si>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 xml:space="preserve">Мероприятие 1.1.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t>
  </si>
  <si>
    <t xml:space="preserve">Мероприятие 2.1.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t>
  </si>
  <si>
    <t>Мероприятие 5.1.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</si>
  <si>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 xml:space="preserve">Мероприятие 8.1.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t>
  </si>
  <si>
    <t>Мероприятие 9.1.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</si>
  <si>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Мероприятие 12.1.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</si>
  <si>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"Приложение № 2</t>
  </si>
  <si>
    <t>Мероприятие 11. Оказание  поддержки на конкурсной основе лучшим работникам муниципальных учреждений  в сфере культуры и искусства, в том числе находящихся на территориях сельских поселений Свердловской области, всего,                    из них:</t>
  </si>
  <si>
    <t>4, 9, 10, 13 - 16</t>
  </si>
  <si>
    <t>4,5,10</t>
  </si>
  <si>
    <t>4 - 16, 27 - 35</t>
  </si>
  <si>
    <t>4,9,10,13 - 16</t>
  </si>
  <si>
    <t>5 - 8, 10, 34, 35</t>
  </si>
  <si>
    <t>4 - 35</t>
  </si>
  <si>
    <t>Мероприятие 2.  Строительство сценической площадки в парке Кушвинского дворца культуры МАУККГО "Кушвинский дворец культуры"</t>
  </si>
  <si>
    <t>к постановлению администрации Кушвинского городского округа от ________________ № ____________</t>
  </si>
  <si>
    <t>Задача 5. Усиление роли учреждений культуры по гармонизации межнациональных и межконфессиональных отношений</t>
  </si>
  <si>
    <t>Факт</t>
  </si>
  <si>
    <t>%</t>
  </si>
  <si>
    <t>Информация о фактическом исполнении мероприятия</t>
  </si>
  <si>
    <t>Объем расходов на выполнение мероприятия, рублей</t>
  </si>
  <si>
    <t>к постановлению администрации Кушвинского городского округа от ___________________________ № ____________</t>
  </si>
  <si>
    <t>Ответственный за выполнение</t>
  </si>
  <si>
    <t>КГО</t>
  </si>
  <si>
    <t>Культ + образ</t>
  </si>
  <si>
    <t>культура 08</t>
  </si>
  <si>
    <t>образование 07</t>
  </si>
  <si>
    <t>Итого</t>
  </si>
  <si>
    <t>Всего по подпрограмме 1,                                в том числе:</t>
  </si>
  <si>
    <t>Всего по направлению «Капитальные вложения",                   в том числе:</t>
  </si>
  <si>
    <t>1.1. Бюджетные инвестиции в объекты капитального строительства</t>
  </si>
  <si>
    <t>Бюджетные инвестиции в объекты капитального строительства, всего, в том числе</t>
  </si>
  <si>
    <t>Мероприятие 1.  Строительство пристроя к зданию Баранчинского центра культуры и досуга всего,                                                     из них:</t>
  </si>
  <si>
    <t>5, 7, 8, 10, 11, 12</t>
  </si>
  <si>
    <t>Управление культуры Кушвинского городского округа</t>
  </si>
  <si>
    <t>5, 7, 8, 10, 12</t>
  </si>
  <si>
    <t>1.2. Иные капитальные вложения</t>
  </si>
  <si>
    <t>Иные капитальные вложения, всего, в том числе</t>
  </si>
  <si>
    <t> 5, 7, 8, 10</t>
  </si>
  <si>
    <t>4 - 8, 14 – 20</t>
  </si>
  <si>
    <t>4 – 8, 10</t>
  </si>
  <si>
    <t xml:space="preserve">4 – 10, 14 – 20 </t>
  </si>
  <si>
    <t>10</t>
  </si>
  <si>
    <t xml:space="preserve">Мероприятие 4.1.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t>
  </si>
  <si>
    <t xml:space="preserve">4, 5, 7, 10, 12, 16 – 20 </t>
  </si>
  <si>
    <t>4, 5, 7, 10, 12, 16 – 20</t>
  </si>
  <si>
    <t>5, 7, 10, 12, 14, 15, 22</t>
  </si>
  <si>
    <t>4,9,10,13 – 16, 22</t>
  </si>
  <si>
    <t>5 – 8, 10, 11, 12, 22</t>
  </si>
  <si>
    <t>4 – 12, 14 - 20</t>
  </si>
  <si>
    <t>Управлеие культуры Кушвинского городского округа</t>
  </si>
  <si>
    <t>4, 9, 10, 12, 16 - 20, 22</t>
  </si>
  <si>
    <t>Мероприятие 11. Оказание  поддержки на конкурсной основе лучшим работникам муниципальных учреждений  в сфере культуры и искусства, в том числе находящихся на территориях сельских поселений Свердловской области, всего,                                        из них:</t>
  </si>
  <si>
    <t>Мероприятие 12. Обустройство парковых территорий, всего,                                        из них:</t>
  </si>
  <si>
    <t>Мероприятие 13. Комплексное благоустройство общественной территории на земельном участке, расположенном по адресу: Свердловская область, г. Кушва, пл. Культуры 1а, с целью реализации мероприятия  "Создание парка культуры и отдыха", всего,                                        из них:</t>
  </si>
  <si>
    <t>2, 4, 7, 9, 29, 30</t>
  </si>
  <si>
    <t>Мероприятие 14. Организация предоставления дополнительного образования детям в сфере искусств</t>
  </si>
  <si>
    <t>27 – 32, 34</t>
  </si>
  <si>
    <t>Мероприятие 14.1.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</si>
  <si>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Мероприятие 15. Обеспечение мероприятий, направленных на поддержку творческих проектов, одаренных детей и молодежи в Кушвинском городском округе, всего, из них:</t>
  </si>
  <si>
    <t>27 – 32</t>
  </si>
  <si>
    <t>29</t>
  </si>
  <si>
    <t>26 – 31</t>
  </si>
  <si>
    <t>Мероприятие 16. Проведение ремонтных работ в зданиях и помещениях, в которых размещаются муниципальные образовательные организации (учреждения), всего, из них:</t>
  </si>
  <si>
    <t>30</t>
  </si>
  <si>
    <t>Мероприятие 17. Обеспечение мероприятий по реализации мер противодействия распространению наркомании, алкоголизма и токсикомании, профилактики правонарушений на территории Кушвинского городского округа, всего, из них:</t>
  </si>
  <si>
    <t>Мероприятие 18. Предоставление субсидий муниципальным образовательным организациям (учреждениям) Кушвинского городского округа на модернизацию материально-технической и фондовой базы, всего, из них:</t>
  </si>
  <si>
    <t>Мероприятие 19. Реализация мероприятий проекта инициативного бюджетирования "Инвестиции в культуру личности", всего, из них:</t>
  </si>
  <si>
    <t>Мероприятие 20. Информатизация муниципальных музеев, в том числе приобретение компьютерного оборудования и лицензионного программного обеспечения, подключение Кушвинского краеведческого музея к сети Интернет, всего, из них:</t>
  </si>
  <si>
    <t>38, 40</t>
  </si>
  <si>
    <t>37, 39</t>
  </si>
  <si>
    <t>Мероприятие 21. Создание музейных интерьеров, интерактивных программ, виртуальных проектов, экспозиций и выставок Кушвинского краеведческого музея,  всего, из них:</t>
  </si>
  <si>
    <t>Мероприятие 22. Обучение специалистов на семинарах, практикумах, тренингах, участие в выставках, конференциях различного уровня, всего, из них:</t>
  </si>
  <si>
    <t>Мероприятие 23. Обеспечение мероприятий по реализации издательских проектов, всего, из них:</t>
  </si>
  <si>
    <t>Мероприятие 24. Обеспечение мероприятий по разработке и сертификации экскурсионных маршрутов</t>
  </si>
  <si>
    <t>Мероприятие 25. Обеспечение физической и информационной доступности учреждений культуры (в том числе оборудование входных групп, сооружение пандусов, приспособление путей движения внутри зданий, оборудование накладными пандусами,   создание условий доступности санитарных комнат, установка средств связи, информации и сигнализации  (указателей и табличек, упрощающих ориентацию), всего, из них:</t>
  </si>
  <si>
    <t>44, 45</t>
  </si>
  <si>
    <t>Мероприятие 25.1.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</si>
  <si>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Мероприятие 26. Проведение цикла мероприятий для людей с ограниченными возможностями здоровья и других маломобильных групп населения, всего, из них:</t>
  </si>
  <si>
    <t>Мероприятие 27. Организация и проведение паспортизации учреждений культуры, всего, из них:</t>
  </si>
  <si>
    <t>Мероприятие 28. Проведение мероприятий по  организационно-правовому обеспечению сферы межнациональных  и межконфессиональных отношений, всего, из них:</t>
  </si>
  <si>
    <t>49 - 51</t>
  </si>
  <si>
    <t>Мероприятие 29. Мероприятия, способствующие развитию национально-культурного взаимодействия представителей различных национальностей и конфессий, установлению гармоничных взаимоотношений, всего, из них:</t>
  </si>
  <si>
    <t>Мероприятие 29.1.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</si>
  <si>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Мероприятие 30. Организация мероприятий по информационному сопровождению, научно-методическому обеспечению сферы межнациональных и межконфессиональных отношений, всего, из них:</t>
  </si>
  <si>
    <t>Мероприятие 31. Обеспечение деятельности органов местного самоуправления (органов местной администрации) (центральный аппарат), всего, из них:</t>
  </si>
  <si>
    <t>56, 57, 59 - 62</t>
  </si>
  <si>
    <t>Мероприятие 32. Административно-хозяйственное обеспечение деятельности отраслевого органа Управления культуры Кушвинского городского округа, всего, из них:</t>
  </si>
  <si>
    <t>55,  58</t>
  </si>
  <si>
    <t>Центр ФАО</t>
  </si>
  <si>
    <t>2021 год</t>
  </si>
  <si>
    <t>2022 год</t>
  </si>
  <si>
    <t>2023 год</t>
  </si>
  <si>
    <t>2024 год</t>
  </si>
  <si>
    <t xml:space="preserve">к муниципальной программе "Развитие культуры в Кушвинском городском округе до 2024 года"                           </t>
  </si>
  <si>
    <t>ПЛАН
мероприятий по выполнению муниципальной программы "Развитие культуры в Кушвинском городском округе до 2024 года"</t>
  </si>
  <si>
    <t>ПОДПРОГРАММА 6 "ОБЕСПЕЧЕНИЕ РЕАЛИЗАЦИИ МУНИЦИПАЛЬНОЙ ПРОГРАММЫ "РАЗВИТИЕ КУЛЬТУРЫ В КУШВИНСКОМ ГОРОДСКОМ ОКРУГЕ ДО 2024 ГОДА"</t>
  </si>
  <si>
    <t>Мероприятие 1 Реконструкция здания МАУК КГО "Центр культуры и досуга пос.Баранчинский" (в том числе разработка проектно-сметной  документации, проведение экспертизы, получение заключений, осуществление строительного контроля и авторского надзора)</t>
  </si>
  <si>
    <t>Форма 2</t>
  </si>
  <si>
    <t xml:space="preserve">ВЫПОЛНЕНИЕ МЕРОПРИЯТИЙ МУНИЦИПАЛЬНОЙ ПРОГРАММЫ   </t>
  </si>
  <si>
    <t xml:space="preserve">«Развитие культуры в Кушвинском городском округе до 2024 года» </t>
  </si>
  <si>
    <t>Мероприятие 33. Обеспечение деятельности органов местного самоуправления (органов местной администрации) (центральный аппарат), всего, из них:</t>
  </si>
  <si>
    <t>Мероприятие 32. Организация мероприятий по информационному сопровождению, научно-методическому обеспечению сферы межнациональных и межконфессиональных отношений, всего, из них:</t>
  </si>
  <si>
    <t>Мероприятие 31. Мероприятия, способствующие развитию национально-культурного взаимодействия представителей различных национальностей и конфессий, установлению гармоничных взаимоотношений, всего, из них:</t>
  </si>
  <si>
    <t>Мероприятие 30. Проведение мероприятий по  организационно-правовому обеспечению сферы межнациональных  и межконфессиональных отношений, всего, из них:</t>
  </si>
  <si>
    <t>Мероприятие 29. Организация и проведение паспортизации учреждений культуры, всего, из них:</t>
  </si>
  <si>
    <t>Мероприятие 28. Проведение цикла мероприятий для людей с ограниченными возможностями здоровья и других маломобильных групп населения, всего, из них:</t>
  </si>
  <si>
    <t>Мероприятие 27. Обеспечение физической и информационной доступности учреждений культуры (в том числе оборудование входных групп, сооружение пандусов, приспособление путей движения внутри зданий, оборудование накладными пандусами,   создание условий доступности санитарных комнат, установка средств связи, информации и сигнализации  (указателей и табличек, упрощающих ориентацию), всего, из них:</t>
  </si>
  <si>
    <t>Мероприятие 26. Обеспечение мероприятий по разработке и сертификации экскурсионных маршрутов</t>
  </si>
  <si>
    <t>Мероприятие 24. Обучение специалистов на семинарах, практикумах, тренингах, участие в выставках, конференциях различного уровня, всего, из них:</t>
  </si>
  <si>
    <t>Мероприятие 20. Реализация мероприятий проекта инициативного бюджетирования "Инвестиции в культуру личности", всего, из них:</t>
  </si>
  <si>
    <t>Мероприятие 19. Предоставление субсидий муниципальным образовательным организациям (учреждениям) Кушвинского городского округа на модернизацию материально-технической и фондовой базы, всего, из них:</t>
  </si>
  <si>
    <t>Мероприятие 18. Обеспечение мероприятий по реализации мер противодействия распространению наркомании, алкоголизма и токсикомании, профилактики правонарушений на территории Кушвинского городского округа, всего, из них:</t>
  </si>
  <si>
    <t>Мероприятие 17. Проведение ремонтных работ в зданиях и помещениях, в которых размещаются муниципальные образовательные организации (учреждения), всего, из них:</t>
  </si>
  <si>
    <t>Мероприятие 16. Обеспечение мероприятий, направленных на поддержку творческих проектов, одаренных детей и молодежи в Кушвинском городском округе, всего, из них:</t>
  </si>
  <si>
    <t>Мероприятие 15. Организация предоставления дополнительного образования детям в сфере искусств</t>
  </si>
  <si>
    <t xml:space="preserve">Мероприятие 14. Приобретение объекта недвижимости и земельного участка, расположенного по адресу: г. Кушва, ул. Осипенко, д.3., с целью размещения муниципального учреждения культуры </t>
  </si>
  <si>
    <t>Мероприятие 15.1.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t>
  </si>
  <si>
    <t>Мероприятие 20. Осуществление мероприятий, направленных на соблюдение требований и норм санитарного законодательства и пожарной безопасности</t>
  </si>
  <si>
    <t>Мероприятие 21. Информатизация муниципальных музеев, в том числе приобретение компьютерного оборудования и лицензионного программного обеспечения, подключение Кушвинского краеведческого музея к сети Интернет, всего, из них:</t>
  </si>
  <si>
    <t>Мероприятие 22. Обеспечение мероприятий по реализации издательских проектов, в том числе: изготовление и установка информационных аншлагов</t>
  </si>
  <si>
    <t>Мероприятие 22. Создание музейных интерьеров, интерактивных программ, виртуальных проектов, экспозиций и выставок Кушвинского краеведческого музея,  всего, из них:</t>
  </si>
  <si>
    <t>Мероприятие 3. Строительство сельского центра культурного развития  по адресу: п.Баранчинский, ул.Ленина, 1 (в том числе разработка проектно-сметной  документации, проведение экспертизы, получение заключений, осуществление строительного контроля и авторского надзора)</t>
  </si>
  <si>
    <t>Мероприятие 35 Административно-хозяйственное обеспечение деятельности отраслевого органа Управления культуры Кушвинского городского округа, всего, из них:</t>
  </si>
  <si>
    <t>Мероприятие 13. Комплексное благоустройство общественной территории на земельном участке, расположенном по адресу: Свердловская область, г. Кушва, пл. Культуры, 1а, с целью реализации мероприятия  "Создание парка культуры и отдыха", всего, из них:</t>
  </si>
  <si>
    <t>Мероприятие 14. Приобретение устройств (средств) дезинфекции и медицинского контроля учреждениям культуры, всего, из них:</t>
  </si>
  <si>
    <t>Мероприятие 15. Поощрение на конкурсной основе сельских населенных пунктов, расположенных на территории Свердловской области, не имеющих статуса муниципального образования, - победителей и участников, не занявших призовые места, областного конкурса "Здоровое село-территория трезвости", всего, из них:</t>
  </si>
  <si>
    <t>Мероприятие 16. Выплата денежного поощрения лучшим  муниципальным учреждениям культуры, находящихся на территориях  сельских поселений Свердловской области, лучшим работникам муниципальных учреждений  культуры, находящихся на территориях сельских поселений Свердловской области, всего, из них:</t>
  </si>
  <si>
    <t>Мероприятие 18. Предоставление государственной поддержки на конкурсной основе муниципальным учреждениям культуры Свердловской области, всего, из них:</t>
  </si>
  <si>
    <t>Мероприятие 17. Благоустройство территории, расположенной на земельном участке по адресу: д.Мостовая, 69а, всего, из них:</t>
  </si>
  <si>
    <t>План на 2021 год</t>
  </si>
  <si>
    <t>за 2021 год</t>
  </si>
  <si>
    <t>Мероприятие 20.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и развитие системы  библиотечного дела с учетом  задачи расширения информационных технологий и оцифровки</t>
  </si>
  <si>
    <t>Мероприятие 21. Организация предоставления дополнительного образования детям в сфере искусств, всего, из них:</t>
  </si>
  <si>
    <t>Мероприятие 22. Обеспечение мероприятий, направленных на поддержку творческих проектов, одаренных детей и молодежи в Кушвинском городском округе, всего, из них:</t>
  </si>
  <si>
    <t>Мероприятие 23. Проведение ремонтных работ в зданиях и помещениях, в которых размещаются муниципальные образовательные организации (учреждения), всего: из них:</t>
  </si>
  <si>
    <t>Мероприятие 24. Предоставление субсидий муниципальным образовательным организациям (учреждениям) Кушвинского городского округа на модернизацию материально-технической и фондовой базы, всего, из них:</t>
  </si>
  <si>
    <t>Мероприятие 25. Реализация мероприятий проекта инициативного бюджетирования "Инвестиции в культуру личности"</t>
  </si>
  <si>
    <t>Мероприятие 26. Осуществление мероприятий, направленных на соблюдение требований и норм санитарного законодательства и пожарной безопасности, всего, ихз них:</t>
  </si>
  <si>
    <t>Мероприятие 27. Приобретение устройств (средств) дезинфекции и медицинского контроля учреждениям дополнительного образования в сфере культуры и искусства, всего,из них:</t>
  </si>
  <si>
    <t>Мероприятие 28. Реализация проекта инициативного бюджетирования "Развитие школы-развитие музыканта",всего, из них:</t>
  </si>
  <si>
    <t>Мероприятие 29. Информатизация муниципальных музеев, в том числе приобретение компьютерного оборудования и лицензионного программного обеспечения, подключение Кушвинского краеведческого музея к сети Интернет, всего, в том числе:</t>
  </si>
  <si>
    <t>Мероприятие 30. Создание музейных интерьеров, интерактивных программ, виртуальных проектов, экспозиций и выставок Кушвинского краеведческого музея, всего, в том числе:</t>
  </si>
  <si>
    <t>Мероприятие 31. Обучение специалистов на семинарах, практикумах, тренингах, участие в выставках, конференциях различного уровня, всего, в том числе:</t>
  </si>
  <si>
    <t>Мероприятие 32. Обеспечение мероприятий по реализации издательских проектов, всего, в том числе:</t>
  </si>
  <si>
    <t>Мероприятие 33. Обеспечение физической и информационной доступности учреждений культуры (в том числе оборудование входных групп, сооружение пандусов, приспособление путей движения внутри зданий, оборудование накладными , всего, в том числе:</t>
  </si>
  <si>
    <t>Мероприятие 34. Проведение цикла мероприятий для людей с ограниченными возможностями здоровья и других маломобильных групп населения, всего, в том числе:</t>
  </si>
  <si>
    <t>Мероприятие 35. Мероприятия, способствующие развитию национально-культурного взаимодействия представителей различных национальностей и конфессий, установлению гармоничных взаимоотношений</t>
  </si>
  <si>
    <t>Мероприятие 36. Обеспечение деятельности органов местного самоуправления (органов местной администрации) (центральный аппарат), всего, из них:</t>
  </si>
  <si>
    <t>Мероприятие 37. Административно-хозяйственное обеспечение деятельности отраслевого органа Управления культуры Кушвинского городского округа, всего, из них:</t>
  </si>
  <si>
    <t>ПОДПРОГРАММА  7. "КОМПЛЕКСНОЕ РАЗВИТИЕ СЕЛЬСКИХ ТЕРРИТОРИЙ"</t>
  </si>
  <si>
    <t>Всего по направлению «Прочие нужды», в том числе:</t>
  </si>
  <si>
    <t>Мероприятие 38. Реализация мероприятий по благоустройству сельских территорий (установка (обустройство) ограждения территории клуба по адресу:                 п. Верхняя Баранча, ул. Гагарина, 14)</t>
  </si>
  <si>
    <t>Мероприятие 38. Реализация мероприятий по благоустройству сельских территорий (установка (обустройство) ограждения территории клуба по адресу: п. Верхняя Баранча, ул. Гагарина, 14)</t>
  </si>
  <si>
    <t>Мероприятие 19. Реализация мероприятий по благоустройству территории парка по адресу: г. Кушва, пл. Культуры, 1а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</si>
</sst>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 _₽"/>
  </numFmts>
  <fonts count="35" x14ac:knownFonts="1">
    <font>
      <sz val="12"/>
      <color theme="1"/>
      <name val="Times New Roman"/>
      <family val="2"/>
      <charset val="204"/>
    </font>
    <font>
      <b/>
      <sz val="10"/>
      <color theme="1"/>
      <name val="Times New Roman"/>
      <family val="1"/>
      <charset val="204"/>
    </font>
    <font>
      <sz val="10"/>
      <color theme="1"/>
      <name val="Times New Roman"/>
      <family val="1"/>
      <charset val="204"/>
    </font>
    <font>
      <u/>
      <sz val="12"/>
      <color theme="10"/>
      <name val="Times New Roman"/>
      <family val="2"/>
      <charset val="204"/>
    </font>
    <font>
      <u/>
      <sz val="10"/>
      <color theme="10"/>
      <name val="Times New Roman"/>
      <family val="1"/>
      <charset val="204"/>
    </font>
    <font>
      <b/>
      <i/>
      <sz val="10"/>
      <color theme="1"/>
      <name val="Times New Roman"/>
      <family val="1"/>
      <charset val="204"/>
    </font>
    <font>
      <sz val="10"/>
      <name val="Times New Roman"/>
      <family val="1"/>
      <charset val="204"/>
    </font>
    <font>
      <b/>
      <sz val="11"/>
      <color theme="1"/>
      <name val="Times New Roman"/>
      <family val="1"/>
      <charset val="204"/>
    </font>
    <font>
      <b/>
      <sz val="12"/>
      <color theme="1"/>
      <name val="Times New Roman"/>
      <family val="1"/>
      <charset val="204"/>
    </font>
    <font>
      <i/>
      <sz val="10"/>
      <color theme="1"/>
      <name val="Times New Roman"/>
      <family val="1"/>
      <charset val="204"/>
    </font>
    <font>
      <sz val="12"/>
      <color theme="1"/>
      <name val="Times New Roman"/>
      <family val="1"/>
      <charset val="204"/>
    </font>
    <font>
      <b/>
      <sz val="12"/>
      <color theme="1"/>
      <name val="Times New Roman"/>
      <family val="2"/>
      <charset val="204"/>
    </font>
    <font>
      <sz val="9"/>
      <color theme="1"/>
      <name val="Times New Roman"/>
      <family val="2"/>
      <charset val="204"/>
    </font>
    <font>
      <sz val="10"/>
      <color theme="1"/>
      <name val="Times New Roman"/>
      <family val="2"/>
      <charset val="204"/>
    </font>
    <font>
      <b/>
      <sz val="9"/>
      <color theme="1"/>
      <name val="Times New Roman"/>
      <family val="2"/>
      <charset val="204"/>
    </font>
    <font>
      <b/>
      <i/>
      <sz val="9"/>
      <color theme="1"/>
      <name val="Times New Roman"/>
      <family val="2"/>
      <charset val="204"/>
    </font>
    <font>
      <b/>
      <sz val="9"/>
      <color theme="1"/>
      <name val="Times New Roman"/>
      <family val="1"/>
      <charset val="204"/>
    </font>
    <font>
      <i/>
      <sz val="9"/>
      <color theme="1"/>
      <name val="Times New Roman"/>
      <family val="2"/>
      <charset val="204"/>
    </font>
    <font>
      <sz val="9"/>
      <name val="Times New Roman"/>
      <family val="2"/>
      <charset val="204"/>
    </font>
    <font>
      <u/>
      <sz val="9"/>
      <color theme="10"/>
      <name val="Times New Roman"/>
      <family val="2"/>
      <charset val="204"/>
    </font>
    <font>
      <sz val="8"/>
      <color rgb="FF000000"/>
      <name val="Times New Roman"/>
      <family val="2"/>
      <charset val="204"/>
    </font>
    <font>
      <sz val="9"/>
      <color theme="1"/>
      <name val="Times New Roman"/>
      <family val="1"/>
      <charset val="204"/>
    </font>
    <font>
      <b/>
      <i/>
      <sz val="9"/>
      <color theme="1"/>
      <name val="Times New Roman"/>
      <family val="1"/>
      <charset val="204"/>
    </font>
    <font>
      <b/>
      <sz val="9"/>
      <color rgb="FFFF0000"/>
      <name val="Times New Roman"/>
      <family val="1"/>
      <charset val="204"/>
    </font>
    <font>
      <sz val="9"/>
      <color rgb="FFFF0000"/>
      <name val="Times New Roman"/>
      <family val="1"/>
      <charset val="204"/>
    </font>
    <font>
      <b/>
      <sz val="9"/>
      <name val="Times New Roman"/>
      <family val="1"/>
      <charset val="204"/>
    </font>
    <font>
      <sz val="9"/>
      <name val="Times New Roman"/>
      <family val="1"/>
      <charset val="204"/>
    </font>
    <font>
      <b/>
      <sz val="9"/>
      <name val="Times New Roman"/>
      <family val="2"/>
      <charset val="204"/>
    </font>
    <font>
      <b/>
      <i/>
      <sz val="9"/>
      <name val="Times New Roman"/>
      <family val="2"/>
      <charset val="204"/>
    </font>
    <font>
      <b/>
      <i/>
      <sz val="9"/>
      <name val="Times New Roman"/>
      <family val="1"/>
      <charset val="204"/>
    </font>
    <font>
      <b/>
      <sz val="9"/>
      <color rgb="FFFF0000"/>
      <name val="Times New Roman"/>
      <family val="2"/>
      <charset val="204"/>
    </font>
    <font>
      <sz val="9"/>
      <color rgb="FFFF0000"/>
      <name val="Times New Roman"/>
      <family val="2"/>
      <charset val="204"/>
    </font>
    <font>
      <b/>
      <i/>
      <sz val="9"/>
      <color rgb="FFFF0000"/>
      <name val="Times New Roman"/>
      <family val="2"/>
      <charset val="204"/>
    </font>
    <font>
      <b/>
      <sz val="10"/>
      <color indexed="8"/>
      <name val="Times New Roman"/>
      <family val="1"/>
      <charset val="204"/>
    </font>
    <font>
      <sz val="10"/>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s>
  <cellStyleXfs count="2">
    <xf numFmtId="0" fontId="0" fillId="0" borderId="0"/>
    <xf numFmtId="0" fontId="3" fillId="0" borderId="0" applyNumberFormat="0" applyFill="0" applyBorder="0" applyAlignment="0" applyProtection="0"/>
  </cellStyleXfs>
  <cellXfs count="246">
    <xf numFmtId="0" fontId="0" fillId="0" borderId="0" xfId="0"/>
    <xf numFmtId="4" fontId="2"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4" fontId="2" fillId="0" borderId="1" xfId="0" applyNumberFormat="1" applyFont="1" applyFill="1" applyBorder="1" applyAlignment="1">
      <alignment horizontal="right" wrapText="1"/>
    </xf>
    <xf numFmtId="0" fontId="2" fillId="0" borderId="0" xfId="0" applyFont="1" applyFill="1" applyAlignment="1">
      <alignment horizontal="center" vertical="top" wrapText="1"/>
    </xf>
    <xf numFmtId="0" fontId="2" fillId="0" borderId="0" xfId="0" applyFont="1" applyFill="1" applyAlignment="1">
      <alignment vertical="top" wrapText="1"/>
    </xf>
    <xf numFmtId="4" fontId="7" fillId="0" borderId="1" xfId="0" applyNumberFormat="1" applyFont="1" applyFill="1" applyBorder="1" applyAlignment="1">
      <alignment vertical="center" wrapText="1"/>
    </xf>
    <xf numFmtId="4" fontId="1" fillId="0" borderId="1" xfId="0" applyNumberFormat="1" applyFont="1" applyFill="1" applyBorder="1" applyAlignment="1">
      <alignment wrapText="1"/>
    </xf>
    <xf numFmtId="4" fontId="2" fillId="0" borderId="1" xfId="0" applyNumberFormat="1" applyFont="1" applyFill="1" applyBorder="1" applyAlignment="1">
      <alignment vertical="center" wrapText="1"/>
    </xf>
    <xf numFmtId="4" fontId="2" fillId="0" borderId="1" xfId="0" applyNumberFormat="1" applyFont="1" applyFill="1" applyBorder="1" applyAlignment="1">
      <alignment wrapText="1"/>
    </xf>
    <xf numFmtId="4" fontId="5" fillId="0" borderId="1" xfId="0" applyNumberFormat="1" applyFont="1" applyFill="1" applyBorder="1" applyAlignment="1">
      <alignment vertical="center" wrapText="1"/>
    </xf>
    <xf numFmtId="4" fontId="5" fillId="0" borderId="1" xfId="0" applyNumberFormat="1" applyFont="1" applyFill="1" applyBorder="1" applyAlignment="1">
      <alignment wrapText="1"/>
    </xf>
    <xf numFmtId="4" fontId="1" fillId="0" borderId="1" xfId="0"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5"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left" vertical="center" wrapText="1"/>
    </xf>
    <xf numFmtId="4" fontId="6" fillId="0" borderId="1" xfId="1" applyNumberFormat="1" applyFont="1" applyFill="1" applyBorder="1" applyAlignment="1">
      <alignment horizontal="center" vertical="center" wrapText="1"/>
    </xf>
    <xf numFmtId="4" fontId="4" fillId="0" borderId="1" xfId="1" applyNumberFormat="1" applyFont="1" applyFill="1" applyBorder="1" applyAlignment="1">
      <alignment horizontal="center" vertical="center" wrapText="1"/>
    </xf>
    <xf numFmtId="4" fontId="1" fillId="0" borderId="1" xfId="0" applyNumberFormat="1" applyFont="1" applyFill="1" applyBorder="1" applyAlignment="1">
      <alignment horizontal="justify" vertical="center" wrapText="1"/>
    </xf>
    <xf numFmtId="4" fontId="2" fillId="0" borderId="1" xfId="0" applyNumberFormat="1" applyFont="1" applyFill="1" applyBorder="1" applyAlignment="1">
      <alignment horizontal="justify" vertical="center" wrapText="1"/>
    </xf>
    <xf numFmtId="4" fontId="5" fillId="0" borderId="1" xfId="0" applyNumberFormat="1" applyFont="1" applyFill="1" applyBorder="1" applyAlignment="1">
      <alignment horizontal="left" vertical="center" wrapText="1"/>
    </xf>
    <xf numFmtId="4" fontId="2" fillId="0" borderId="0" xfId="0" applyNumberFormat="1" applyFont="1" applyFill="1" applyAlignment="1">
      <alignment vertical="top" wrapText="1"/>
    </xf>
    <xf numFmtId="0" fontId="0" fillId="0" borderId="0" xfId="0" applyFill="1" applyAlignment="1">
      <alignment vertical="top" wrapText="1"/>
    </xf>
    <xf numFmtId="0" fontId="0" fillId="0" borderId="0" xfId="0" applyFill="1" applyAlignment="1">
      <alignment wrapText="1"/>
    </xf>
    <xf numFmtId="0" fontId="0" fillId="2" borderId="0" xfId="0" applyFill="1" applyAlignment="1">
      <alignment vertical="top" wrapText="1"/>
    </xf>
    <xf numFmtId="0" fontId="2" fillId="2" borderId="0" xfId="0" applyFont="1" applyFill="1" applyAlignment="1">
      <alignment vertical="top" wrapText="1"/>
    </xf>
    <xf numFmtId="0" fontId="2" fillId="2" borderId="1" xfId="0" applyFont="1" applyFill="1" applyBorder="1" applyAlignment="1">
      <alignment horizontal="center" vertical="center" wrapText="1"/>
    </xf>
    <xf numFmtId="0" fontId="0" fillId="2" borderId="0" xfId="0" applyFill="1" applyAlignment="1">
      <alignment wrapText="1"/>
    </xf>
    <xf numFmtId="4" fontId="0" fillId="0" borderId="0" xfId="0" applyNumberFormat="1" applyFill="1" applyAlignment="1">
      <alignment wrapText="1"/>
    </xf>
    <xf numFmtId="0" fontId="2" fillId="0" borderId="1" xfId="0" applyFont="1" applyFill="1" applyBorder="1" applyAlignment="1">
      <alignment horizontal="center" vertical="center" wrapText="1"/>
    </xf>
    <xf numFmtId="0" fontId="10" fillId="0" borderId="0" xfId="0" applyFont="1" applyFill="1" applyAlignment="1">
      <alignment horizontal="left" vertical="top"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0" fillId="0" borderId="0" xfId="0" applyFont="1" applyFill="1" applyAlignment="1">
      <alignment wrapText="1"/>
    </xf>
    <xf numFmtId="0" fontId="12" fillId="0" borderId="0" xfId="0" applyFont="1" applyFill="1" applyAlignment="1">
      <alignment wrapText="1"/>
    </xf>
    <xf numFmtId="0" fontId="0" fillId="2" borderId="0" xfId="0" applyFont="1" applyFill="1" applyAlignment="1">
      <alignment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0" fillId="0" borderId="0" xfId="0" applyFont="1" applyFill="1" applyAlignment="1">
      <alignment vertical="top" wrapText="1"/>
    </xf>
    <xf numFmtId="0" fontId="0" fillId="0" borderId="0" xfId="0" applyFont="1" applyFill="1" applyAlignment="1">
      <alignment horizontal="left" vertical="top" wrapText="1"/>
    </xf>
    <xf numFmtId="49" fontId="0" fillId="0" borderId="0" xfId="0" applyNumberFormat="1" applyFont="1" applyFill="1" applyAlignment="1">
      <alignment horizontal="left" vertical="top" wrapText="1"/>
    </xf>
    <xf numFmtId="0" fontId="13" fillId="0" borderId="0" xfId="0" applyFont="1" applyFill="1" applyAlignment="1">
      <alignment horizontal="center" vertical="top" wrapText="1"/>
    </xf>
    <xf numFmtId="0" fontId="13" fillId="0" borderId="0" xfId="0" applyFont="1" applyFill="1" applyAlignment="1">
      <alignment vertical="top" wrapText="1"/>
    </xf>
    <xf numFmtId="4" fontId="13" fillId="0" borderId="0" xfId="0" applyNumberFormat="1" applyFont="1" applyFill="1" applyAlignment="1">
      <alignment vertical="top" wrapText="1"/>
    </xf>
    <xf numFmtId="0" fontId="13" fillId="0" borderId="1" xfId="0" applyFont="1" applyFill="1" applyBorder="1" applyAlignment="1">
      <alignment wrapText="1"/>
    </xf>
    <xf numFmtId="0" fontId="13" fillId="0" borderId="1" xfId="0" applyFont="1" applyFill="1" applyBorder="1" applyAlignment="1">
      <alignment horizontal="center" vertical="center" wrapText="1"/>
    </xf>
    <xf numFmtId="0" fontId="13" fillId="0" borderId="0" xfId="0" applyFont="1" applyFill="1" applyAlignment="1">
      <alignment wrapText="1"/>
    </xf>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top" wrapText="1"/>
    </xf>
    <xf numFmtId="4" fontId="13" fillId="0" borderId="1" xfId="0" applyNumberFormat="1" applyFont="1" applyFill="1" applyBorder="1" applyAlignment="1">
      <alignment horizontal="right" wrapText="1"/>
    </xf>
    <xf numFmtId="4" fontId="14" fillId="0" borderId="1" xfId="0" applyNumberFormat="1" applyFont="1" applyFill="1" applyBorder="1" applyAlignment="1">
      <alignment vertical="center" wrapText="1"/>
    </xf>
    <xf numFmtId="4" fontId="14" fillId="0" borderId="1" xfId="0" applyNumberFormat="1" applyFont="1" applyFill="1" applyBorder="1" applyAlignment="1">
      <alignment wrapText="1"/>
    </xf>
    <xf numFmtId="4" fontId="12"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right" wrapText="1"/>
    </xf>
    <xf numFmtId="4" fontId="12" fillId="0" borderId="1" xfId="0" applyNumberFormat="1" applyFont="1" applyFill="1" applyBorder="1" applyAlignment="1">
      <alignment vertical="center" wrapText="1"/>
    </xf>
    <xf numFmtId="4" fontId="12" fillId="0" borderId="1" xfId="0" applyNumberFormat="1" applyFont="1" applyFill="1" applyBorder="1" applyAlignment="1">
      <alignment wrapText="1"/>
    </xf>
    <xf numFmtId="3" fontId="13" fillId="0" borderId="1" xfId="0" applyNumberFormat="1" applyFont="1" applyFill="1" applyBorder="1" applyAlignment="1">
      <alignment wrapText="1"/>
    </xf>
    <xf numFmtId="4" fontId="12" fillId="3" borderId="1" xfId="0" applyNumberFormat="1" applyFont="1" applyFill="1" applyBorder="1" applyAlignment="1">
      <alignment wrapText="1"/>
    </xf>
    <xf numFmtId="4" fontId="15" fillId="0" borderId="1" xfId="0" applyNumberFormat="1" applyFont="1" applyFill="1" applyBorder="1" applyAlignment="1">
      <alignment vertical="center" wrapText="1"/>
    </xf>
    <xf numFmtId="4" fontId="15" fillId="0" borderId="1" xfId="0" applyNumberFormat="1" applyFont="1" applyFill="1" applyBorder="1" applyAlignment="1">
      <alignment wrapText="1"/>
    </xf>
    <xf numFmtId="164" fontId="13" fillId="0" borderId="1" xfId="0" applyNumberFormat="1" applyFont="1" applyFill="1" applyBorder="1" applyAlignment="1">
      <alignment wrapText="1"/>
    </xf>
    <xf numFmtId="4" fontId="14"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wrapText="1"/>
    </xf>
    <xf numFmtId="4" fontId="12" fillId="0" borderId="1" xfId="0" applyNumberFormat="1" applyFont="1" applyFill="1" applyBorder="1" applyAlignment="1">
      <alignment horizontal="right" wrapText="1"/>
    </xf>
    <xf numFmtId="0" fontId="12" fillId="0" borderId="1" xfId="0" applyFont="1" applyFill="1" applyBorder="1" applyAlignment="1">
      <alignment vertical="center" wrapText="1"/>
    </xf>
    <xf numFmtId="0" fontId="12" fillId="0" borderId="1" xfId="0" applyFont="1" applyFill="1" applyBorder="1" applyAlignment="1">
      <alignment horizontal="left" vertical="center" wrapText="1"/>
    </xf>
    <xf numFmtId="4" fontId="15" fillId="0" borderId="1" xfId="0" applyNumberFormat="1" applyFont="1" applyFill="1" applyBorder="1" applyAlignment="1">
      <alignment horizontal="right" vertical="center" wrapText="1"/>
    </xf>
    <xf numFmtId="49" fontId="15" fillId="0" borderId="1" xfId="0" applyNumberFormat="1" applyFont="1" applyFill="1" applyBorder="1" applyAlignment="1">
      <alignment horizontal="center" vertical="center" wrapText="1"/>
    </xf>
    <xf numFmtId="49" fontId="12" fillId="0" borderId="0" xfId="0" applyNumberFormat="1" applyFont="1" applyFill="1" applyAlignment="1">
      <alignment wrapText="1"/>
    </xf>
    <xf numFmtId="4" fontId="16" fillId="0" borderId="1" xfId="0" applyNumberFormat="1" applyFont="1" applyFill="1" applyBorder="1" applyAlignment="1">
      <alignment horizontal="right" vertical="center" wrapText="1"/>
    </xf>
    <xf numFmtId="4" fontId="12" fillId="3" borderId="1" xfId="0" applyNumberFormat="1" applyFont="1" applyFill="1" applyBorder="1" applyAlignment="1">
      <alignment horizontal="right" vertical="center" wrapText="1"/>
    </xf>
    <xf numFmtId="4" fontId="17" fillId="0" borderId="1" xfId="0" applyNumberFormat="1" applyFont="1" applyFill="1" applyBorder="1" applyAlignment="1">
      <alignment horizontal="right" vertical="center" wrapText="1"/>
    </xf>
    <xf numFmtId="49" fontId="12" fillId="0" borderId="1" xfId="0" applyNumberFormat="1" applyFont="1" applyFill="1" applyBorder="1" applyAlignment="1">
      <alignment vertical="center" wrapText="1"/>
    </xf>
    <xf numFmtId="49" fontId="12" fillId="0" borderId="4" xfId="0" applyNumberFormat="1" applyFont="1" applyFill="1" applyBorder="1" applyAlignment="1">
      <alignment horizontal="center" vertical="center" wrapText="1"/>
    </xf>
    <xf numFmtId="49" fontId="12" fillId="0" borderId="4" xfId="0" applyNumberFormat="1" applyFont="1" applyFill="1" applyBorder="1" applyAlignment="1">
      <alignment vertical="center" wrapText="1"/>
    </xf>
    <xf numFmtId="4" fontId="14" fillId="0" borderId="1" xfId="0" applyNumberFormat="1" applyFont="1" applyFill="1" applyBorder="1" applyAlignment="1">
      <alignment horizontal="left" vertical="center" wrapText="1"/>
    </xf>
    <xf numFmtId="4" fontId="12" fillId="0" borderId="1" xfId="0" applyNumberFormat="1" applyFont="1" applyFill="1" applyBorder="1" applyAlignment="1">
      <alignment horizontal="left" vertical="center" wrapText="1"/>
    </xf>
    <xf numFmtId="49" fontId="18" fillId="0" borderId="1" xfId="1" applyNumberFormat="1" applyFont="1" applyFill="1" applyBorder="1" applyAlignment="1">
      <alignment horizontal="center" vertical="center" wrapText="1"/>
    </xf>
    <xf numFmtId="4" fontId="12" fillId="2" borderId="1" xfId="0" applyNumberFormat="1" applyFont="1" applyFill="1" applyBorder="1" applyAlignment="1">
      <alignment horizontal="right" vertical="center" wrapText="1"/>
    </xf>
    <xf numFmtId="49" fontId="19" fillId="0" borderId="1" xfId="1"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4" fontId="12" fillId="0" borderId="6" xfId="0" applyNumberFormat="1" applyFont="1" applyFill="1" applyBorder="1" applyAlignment="1">
      <alignment horizontal="right" vertical="center" wrapText="1"/>
    </xf>
    <xf numFmtId="49" fontId="12" fillId="0" borderId="6"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5" fillId="0" borderId="1" xfId="0" applyNumberFormat="1" applyFont="1" applyFill="1" applyBorder="1" applyAlignment="1">
      <alignment vertical="top" wrapText="1"/>
    </xf>
    <xf numFmtId="4" fontId="14" fillId="0" borderId="1" xfId="0" applyNumberFormat="1" applyFont="1" applyFill="1" applyBorder="1" applyAlignment="1">
      <alignment horizontal="justify" vertical="center" wrapText="1"/>
    </xf>
    <xf numFmtId="4" fontId="12" fillId="0" borderId="1" xfId="0" applyNumberFormat="1" applyFont="1" applyFill="1" applyBorder="1" applyAlignment="1">
      <alignment horizontal="justify" vertical="center" wrapText="1"/>
    </xf>
    <xf numFmtId="4" fontId="15" fillId="0" borderId="1" xfId="0" applyNumberFormat="1" applyFont="1" applyFill="1" applyBorder="1" applyAlignment="1">
      <alignment horizontal="left" vertical="center" wrapText="1"/>
    </xf>
    <xf numFmtId="49" fontId="0" fillId="0" borderId="0" xfId="0" applyNumberFormat="1" applyFont="1" applyFill="1" applyAlignment="1">
      <alignment wrapText="1"/>
    </xf>
    <xf numFmtId="0" fontId="0" fillId="0" borderId="0" xfId="0" applyFont="1" applyFill="1" applyAlignment="1">
      <alignment horizontal="center" vertical="top" wrapText="1"/>
    </xf>
    <xf numFmtId="0" fontId="12" fillId="0" borderId="1" xfId="0" applyFont="1" applyFill="1" applyBorder="1" applyAlignment="1">
      <alignment horizontal="left" wrapText="1"/>
    </xf>
    <xf numFmtId="4" fontId="12" fillId="2" borderId="1" xfId="0" applyNumberFormat="1" applyFont="1" applyFill="1" applyBorder="1" applyAlignment="1">
      <alignment horizontal="center" vertical="center" wrapText="1"/>
    </xf>
    <xf numFmtId="0" fontId="0" fillId="0" borderId="0" xfId="0" applyFont="1" applyFill="1" applyAlignment="1">
      <alignment horizontal="center" vertical="center" wrapText="1"/>
    </xf>
    <xf numFmtId="1" fontId="12" fillId="0" borderId="1" xfId="0" applyNumberFormat="1" applyFont="1" applyFill="1" applyBorder="1" applyAlignment="1">
      <alignment horizontal="center" vertical="center" wrapText="1"/>
    </xf>
    <xf numFmtId="1" fontId="12" fillId="0" borderId="0" xfId="0" applyNumberFormat="1" applyFont="1" applyFill="1" applyAlignment="1">
      <alignment horizontal="center" wrapText="1"/>
    </xf>
    <xf numFmtId="0" fontId="12" fillId="0" borderId="1" xfId="0" applyFont="1" applyFill="1" applyBorder="1" applyAlignment="1">
      <alignment wrapText="1"/>
    </xf>
    <xf numFmtId="0" fontId="16" fillId="0" borderId="1" xfId="0" applyFont="1" applyFill="1" applyBorder="1" applyAlignment="1">
      <alignment horizontal="left" wrapText="1"/>
    </xf>
    <xf numFmtId="0" fontId="21" fillId="0" borderId="1" xfId="0" applyFont="1" applyFill="1" applyBorder="1" applyAlignment="1">
      <alignment horizontal="left" wrapText="1"/>
    </xf>
    <xf numFmtId="4" fontId="21" fillId="0" borderId="1" xfId="0" applyNumberFormat="1" applyFont="1" applyFill="1" applyBorder="1" applyAlignment="1">
      <alignment horizontal="right" wrapText="1"/>
    </xf>
    <xf numFmtId="0" fontId="22" fillId="0" borderId="1" xfId="0" applyFont="1" applyFill="1" applyBorder="1" applyAlignment="1">
      <alignment horizontal="left" wrapText="1"/>
    </xf>
    <xf numFmtId="0" fontId="12" fillId="0" borderId="1" xfId="0" applyFont="1" applyFill="1" applyBorder="1" applyAlignment="1">
      <alignment vertical="top" wrapText="1"/>
    </xf>
    <xf numFmtId="4" fontId="16" fillId="0" borderId="1" xfId="0" applyNumberFormat="1" applyFont="1" applyFill="1" applyBorder="1" applyAlignment="1">
      <alignment horizontal="right" wrapText="1"/>
    </xf>
    <xf numFmtId="4" fontId="25" fillId="0" borderId="1" xfId="0" applyNumberFormat="1" applyFont="1" applyFill="1" applyBorder="1" applyAlignment="1">
      <alignment horizontal="right" wrapText="1"/>
    </xf>
    <xf numFmtId="4" fontId="26" fillId="0" borderId="1" xfId="0" applyNumberFormat="1" applyFont="1" applyFill="1" applyBorder="1" applyAlignment="1">
      <alignment horizontal="right" wrapText="1"/>
    </xf>
    <xf numFmtId="0" fontId="12"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0" fillId="0" borderId="0" xfId="0" applyFont="1" applyFill="1" applyAlignment="1">
      <alignment horizontal="left" vertical="top" wrapText="1"/>
    </xf>
    <xf numFmtId="0" fontId="0" fillId="2" borderId="0" xfId="0" applyFont="1" applyFill="1" applyAlignment="1">
      <alignment horizontal="left" vertical="top" wrapText="1"/>
    </xf>
    <xf numFmtId="4" fontId="14" fillId="2" borderId="1" xfId="0" applyNumberFormat="1" applyFont="1" applyFill="1" applyBorder="1" applyAlignment="1">
      <alignment wrapText="1"/>
    </xf>
    <xf numFmtId="4" fontId="12" fillId="2" borderId="1" xfId="0" applyNumberFormat="1" applyFont="1" applyFill="1" applyBorder="1" applyAlignment="1">
      <alignment wrapText="1"/>
    </xf>
    <xf numFmtId="4" fontId="15" fillId="2" borderId="1" xfId="0" applyNumberFormat="1" applyFont="1" applyFill="1" applyBorder="1" applyAlignment="1">
      <alignment wrapText="1"/>
    </xf>
    <xf numFmtId="4" fontId="14" fillId="2" borderId="1" xfId="0" applyNumberFormat="1" applyFont="1" applyFill="1" applyBorder="1" applyAlignment="1">
      <alignment horizontal="right" vertical="center" wrapText="1"/>
    </xf>
    <xf numFmtId="4" fontId="12" fillId="2" borderId="1" xfId="0" applyNumberFormat="1" applyFont="1" applyFill="1" applyBorder="1" applyAlignment="1">
      <alignment horizontal="right" wrapText="1"/>
    </xf>
    <xf numFmtId="4" fontId="15" fillId="2" borderId="1" xfId="0" applyNumberFormat="1" applyFont="1" applyFill="1" applyBorder="1" applyAlignment="1">
      <alignment horizontal="right" vertical="center" wrapText="1"/>
    </xf>
    <xf numFmtId="4" fontId="16" fillId="2" borderId="1" xfId="0" applyNumberFormat="1" applyFont="1" applyFill="1" applyBorder="1" applyAlignment="1">
      <alignment horizontal="right" vertical="center" wrapText="1"/>
    </xf>
    <xf numFmtId="4" fontId="17" fillId="2" borderId="1" xfId="0" applyNumberFormat="1" applyFont="1" applyFill="1" applyBorder="1" applyAlignment="1">
      <alignment horizontal="right" vertical="center" wrapText="1"/>
    </xf>
    <xf numFmtId="4" fontId="14" fillId="2" borderId="1" xfId="0" applyNumberFormat="1" applyFont="1" applyFill="1" applyBorder="1" applyAlignment="1">
      <alignment vertical="center" wrapText="1"/>
    </xf>
    <xf numFmtId="4" fontId="12" fillId="2" borderId="1" xfId="0" applyNumberFormat="1" applyFont="1" applyFill="1" applyBorder="1" applyAlignment="1">
      <alignment vertical="center" wrapText="1"/>
    </xf>
    <xf numFmtId="4" fontId="14" fillId="2" borderId="1" xfId="0" applyNumberFormat="1" applyFont="1" applyFill="1" applyBorder="1" applyAlignment="1">
      <alignment horizontal="center" vertical="center" wrapText="1"/>
    </xf>
    <xf numFmtId="4" fontId="28" fillId="0" borderId="1" xfId="0" applyNumberFormat="1" applyFont="1" applyFill="1" applyBorder="1" applyAlignment="1">
      <alignment vertical="center" wrapText="1"/>
    </xf>
    <xf numFmtId="4" fontId="27" fillId="0" borderId="1" xfId="0" applyNumberFormat="1" applyFont="1" applyFill="1" applyBorder="1" applyAlignment="1">
      <alignment horizontal="right" vertical="center" wrapText="1"/>
    </xf>
    <xf numFmtId="4" fontId="18" fillId="0" borderId="1" xfId="0" applyNumberFormat="1" applyFont="1" applyFill="1" applyBorder="1" applyAlignment="1">
      <alignment horizontal="right" wrapText="1"/>
    </xf>
    <xf numFmtId="4" fontId="18" fillId="0" borderId="1" xfId="0" applyNumberFormat="1" applyFont="1" applyFill="1" applyBorder="1" applyAlignment="1">
      <alignment horizontal="right" vertical="center" wrapText="1"/>
    </xf>
    <xf numFmtId="4" fontId="22" fillId="0" borderId="1" xfId="0" applyNumberFormat="1" applyFont="1" applyFill="1" applyBorder="1" applyAlignment="1">
      <alignment horizontal="right" vertical="center" wrapText="1"/>
    </xf>
    <xf numFmtId="4" fontId="14" fillId="2" borderId="1" xfId="0" applyNumberFormat="1" applyFont="1" applyFill="1" applyBorder="1" applyAlignment="1">
      <alignment horizontal="left" vertical="center" wrapText="1"/>
    </xf>
    <xf numFmtId="49" fontId="12" fillId="2" borderId="1" xfId="0" applyNumberFormat="1" applyFont="1" applyFill="1" applyBorder="1" applyAlignment="1">
      <alignment horizontal="center" vertical="center" wrapText="1"/>
    </xf>
    <xf numFmtId="4" fontId="12" fillId="2" borderId="1" xfId="0" applyNumberFormat="1" applyFont="1" applyFill="1" applyBorder="1" applyAlignment="1">
      <alignment horizontal="left" vertical="center" wrapText="1"/>
    </xf>
    <xf numFmtId="0" fontId="12" fillId="2" borderId="1" xfId="0" applyFont="1" applyFill="1" applyBorder="1" applyAlignment="1">
      <alignment vertical="center" wrapText="1"/>
    </xf>
    <xf numFmtId="4" fontId="22" fillId="2" borderId="1" xfId="0" applyNumberFormat="1" applyFont="1" applyFill="1" applyBorder="1" applyAlignment="1">
      <alignment horizontal="right" vertical="center" wrapText="1"/>
    </xf>
    <xf numFmtId="4" fontId="16" fillId="0" borderId="1" xfId="0" applyNumberFormat="1" applyFont="1" applyFill="1" applyBorder="1" applyAlignment="1">
      <alignment horizontal="center" vertical="center" wrapText="1"/>
    </xf>
    <xf numFmtId="4" fontId="22" fillId="0" borderId="1" xfId="0" applyNumberFormat="1" applyFont="1" applyFill="1" applyBorder="1" applyAlignment="1">
      <alignment wrapText="1"/>
    </xf>
    <xf numFmtId="4" fontId="15" fillId="2" borderId="1" xfId="0" applyNumberFormat="1" applyFont="1" applyFill="1" applyBorder="1" applyAlignment="1">
      <alignment vertical="center" wrapText="1"/>
    </xf>
    <xf numFmtId="0" fontId="12" fillId="2" borderId="1" xfId="0" applyFont="1" applyFill="1" applyBorder="1" applyAlignment="1">
      <alignment horizontal="left" vertical="center" wrapText="1"/>
    </xf>
    <xf numFmtId="0" fontId="24" fillId="0" borderId="1" xfId="0" applyFont="1" applyFill="1" applyBorder="1" applyAlignment="1">
      <alignment vertical="top" wrapText="1"/>
    </xf>
    <xf numFmtId="0" fontId="29" fillId="0" borderId="1" xfId="0" applyFont="1" applyFill="1" applyBorder="1" applyAlignment="1">
      <alignment horizontal="left" wrapText="1"/>
    </xf>
    <xf numFmtId="0" fontId="26" fillId="0" borderId="1" xfId="0" applyFont="1" applyFill="1" applyBorder="1" applyAlignment="1">
      <alignment horizontal="left" wrapText="1"/>
    </xf>
    <xf numFmtId="0" fontId="12" fillId="3" borderId="1" xfId="0" applyFont="1" applyFill="1" applyBorder="1" applyAlignment="1">
      <alignment horizontal="center" vertical="center" wrapText="1"/>
    </xf>
    <xf numFmtId="4" fontId="0" fillId="0" borderId="0" xfId="0" applyNumberFormat="1" applyFont="1" applyFill="1" applyAlignment="1">
      <alignment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0" fillId="3" borderId="0" xfId="0" applyFont="1" applyFill="1" applyAlignment="1">
      <alignment horizontal="left" vertical="top" wrapText="1"/>
    </xf>
    <xf numFmtId="4" fontId="14" fillId="3" borderId="1" xfId="0" applyNumberFormat="1" applyFont="1" applyFill="1" applyBorder="1" applyAlignment="1">
      <alignment wrapText="1"/>
    </xf>
    <xf numFmtId="4" fontId="15" fillId="3" borderId="1" xfId="0" applyNumberFormat="1" applyFont="1" applyFill="1" applyBorder="1" applyAlignment="1">
      <alignment wrapText="1"/>
    </xf>
    <xf numFmtId="4" fontId="27" fillId="3" borderId="1" xfId="0" applyNumberFormat="1" applyFont="1" applyFill="1" applyBorder="1" applyAlignment="1">
      <alignment horizontal="right" vertical="center" wrapText="1"/>
    </xf>
    <xf numFmtId="4" fontId="18" fillId="3" borderId="1" xfId="0" applyNumberFormat="1" applyFont="1" applyFill="1" applyBorder="1" applyAlignment="1">
      <alignment horizontal="right" wrapText="1"/>
    </xf>
    <xf numFmtId="4" fontId="1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 fontId="15" fillId="3" borderId="1" xfId="0" applyNumberFormat="1" applyFont="1" applyFill="1" applyBorder="1" applyAlignment="1">
      <alignment horizontal="right" vertical="center" wrapText="1"/>
    </xf>
    <xf numFmtId="4" fontId="16" fillId="3" borderId="1" xfId="0" applyNumberFormat="1" applyFont="1" applyFill="1" applyBorder="1" applyAlignment="1">
      <alignment horizontal="right" vertical="center" wrapText="1"/>
    </xf>
    <xf numFmtId="4" fontId="17"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center" vertical="center" wrapText="1"/>
    </xf>
    <xf numFmtId="4" fontId="12" fillId="3" borderId="1" xfId="0" applyNumberFormat="1" applyFont="1" applyFill="1" applyBorder="1" applyAlignment="1">
      <alignment horizontal="center" vertical="center" wrapText="1"/>
    </xf>
    <xf numFmtId="4" fontId="12" fillId="3" borderId="6" xfId="0" applyNumberFormat="1" applyFont="1" applyFill="1" applyBorder="1" applyAlignment="1">
      <alignment horizontal="right" vertical="center" wrapText="1"/>
    </xf>
    <xf numFmtId="4" fontId="12" fillId="3" borderId="1" xfId="0" applyNumberFormat="1" applyFont="1" applyFill="1" applyBorder="1" applyAlignment="1">
      <alignment vertical="center" wrapText="1"/>
    </xf>
    <xf numFmtId="0" fontId="0" fillId="3" borderId="0" xfId="0" applyFont="1" applyFill="1" applyAlignment="1">
      <alignment wrapText="1"/>
    </xf>
    <xf numFmtId="4" fontId="22" fillId="0" borderId="1" xfId="0" applyNumberFormat="1" applyFont="1" applyFill="1" applyBorder="1" applyAlignment="1">
      <alignment vertical="center" wrapText="1"/>
    </xf>
    <xf numFmtId="4" fontId="30" fillId="3" borderId="1" xfId="0" applyNumberFormat="1" applyFont="1" applyFill="1" applyBorder="1" applyAlignment="1">
      <alignment wrapText="1"/>
    </xf>
    <xf numFmtId="4" fontId="31" fillId="3" borderId="1" xfId="0" applyNumberFormat="1" applyFont="1" applyFill="1" applyBorder="1" applyAlignment="1">
      <alignment wrapText="1"/>
    </xf>
    <xf numFmtId="4" fontId="32" fillId="3" borderId="1" xfId="0" applyNumberFormat="1" applyFont="1" applyFill="1" applyBorder="1" applyAlignment="1">
      <alignment wrapText="1"/>
    </xf>
    <xf numFmtId="4" fontId="31" fillId="3" borderId="1" xfId="0" applyNumberFormat="1" applyFont="1" applyFill="1" applyBorder="1" applyAlignment="1">
      <alignment horizontal="right" vertical="center" wrapText="1"/>
    </xf>
    <xf numFmtId="0" fontId="12" fillId="0" borderId="4" xfId="0" applyFont="1" applyFill="1" applyBorder="1" applyAlignment="1">
      <alignment vertical="top" wrapText="1"/>
    </xf>
    <xf numFmtId="4" fontId="22" fillId="0" borderId="1" xfId="0" applyNumberFormat="1" applyFont="1" applyFill="1" applyBorder="1" applyAlignment="1">
      <alignment horizontal="left" wrapText="1"/>
    </xf>
    <xf numFmtId="0" fontId="22" fillId="0" borderId="1" xfId="0" applyFont="1" applyFill="1" applyBorder="1" applyAlignment="1">
      <alignment horizontal="left" vertical="top" wrapText="1"/>
    </xf>
    <xf numFmtId="165" fontId="12" fillId="0" borderId="1" xfId="0" applyNumberFormat="1" applyFont="1" applyFill="1" applyBorder="1" applyAlignment="1">
      <alignment wrapText="1"/>
    </xf>
    <xf numFmtId="165" fontId="16" fillId="0" borderId="1" xfId="0" applyNumberFormat="1" applyFont="1" applyFill="1" applyBorder="1" applyAlignment="1">
      <alignment wrapText="1"/>
    </xf>
    <xf numFmtId="4" fontId="0" fillId="0" borderId="0" xfId="0" applyNumberFormat="1" applyFont="1" applyFill="1" applyAlignment="1">
      <alignment horizontal="right" wrapText="1"/>
    </xf>
    <xf numFmtId="0" fontId="0" fillId="0" borderId="0" xfId="0" applyFont="1" applyFill="1" applyAlignment="1">
      <alignment horizontal="right" wrapText="1"/>
    </xf>
    <xf numFmtId="3" fontId="12" fillId="0" borderId="1" xfId="0" applyNumberFormat="1" applyFont="1" applyFill="1" applyBorder="1" applyAlignment="1">
      <alignment horizontal="center" vertical="center" wrapText="1"/>
    </xf>
    <xf numFmtId="4" fontId="24" fillId="0" borderId="1" xfId="0" applyNumberFormat="1" applyFont="1" applyFill="1" applyBorder="1" applyAlignment="1">
      <alignment horizontal="right" wrapText="1"/>
    </xf>
    <xf numFmtId="4" fontId="23" fillId="0" borderId="1" xfId="0" applyNumberFormat="1" applyFont="1" applyFill="1" applyBorder="1" applyAlignment="1">
      <alignment horizontal="right" wrapText="1"/>
    </xf>
    <xf numFmtId="165" fontId="25" fillId="0" borderId="1" xfId="0" applyNumberFormat="1" applyFont="1" applyFill="1" applyBorder="1" applyAlignment="1">
      <alignment wrapText="1"/>
    </xf>
    <xf numFmtId="165" fontId="26" fillId="0" borderId="1" xfId="0" applyNumberFormat="1" applyFont="1" applyFill="1" applyBorder="1" applyAlignment="1">
      <alignment wrapText="1"/>
    </xf>
    <xf numFmtId="4" fontId="26" fillId="0" borderId="1" xfId="0" applyNumberFormat="1" applyFont="1" applyFill="1" applyBorder="1" applyAlignment="1">
      <alignment horizontal="right" vertical="top" wrapText="1"/>
    </xf>
    <xf numFmtId="166" fontId="26" fillId="0" borderId="1" xfId="0" applyNumberFormat="1" applyFont="1" applyFill="1" applyBorder="1" applyAlignment="1">
      <alignment horizontal="right" wrapText="1"/>
    </xf>
    <xf numFmtId="166" fontId="12" fillId="0" borderId="1" xfId="0" applyNumberFormat="1" applyFont="1" applyFill="1" applyBorder="1" applyAlignment="1">
      <alignment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33" fillId="0" borderId="1" xfId="0" applyNumberFormat="1" applyFont="1" applyFill="1" applyBorder="1" applyAlignment="1">
      <alignment horizontal="left" vertical="top" wrapText="1"/>
    </xf>
    <xf numFmtId="0" fontId="34" fillId="0" borderId="1" xfId="0" applyNumberFormat="1" applyFont="1" applyFill="1" applyBorder="1" applyAlignment="1">
      <alignment horizontal="left" vertical="top" wrapText="1"/>
    </xf>
    <xf numFmtId="0" fontId="6" fillId="0" borderId="6"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0" fillId="0" borderId="0" xfId="0" applyFill="1" applyAlignment="1">
      <alignment horizontal="center" vertical="center" wrapText="1"/>
    </xf>
    <xf numFmtId="0" fontId="10"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4" fontId="1" fillId="0" borderId="4"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0" xfId="0" applyFont="1" applyFill="1" applyAlignment="1">
      <alignment horizontal="left" vertical="top" wrapText="1"/>
    </xf>
    <xf numFmtId="0" fontId="8" fillId="0" borderId="0" xfId="0" applyFont="1" applyFill="1" applyAlignment="1">
      <alignment horizontal="center" vertical="center" wrapText="1"/>
    </xf>
    <xf numFmtId="4" fontId="14" fillId="0" borderId="2" xfId="0" applyNumberFormat="1" applyFont="1" applyFill="1" applyBorder="1" applyAlignment="1">
      <alignment horizontal="center" vertical="center" wrapText="1"/>
    </xf>
    <xf numFmtId="4" fontId="14" fillId="0" borderId="3" xfId="0" applyNumberFormat="1" applyFont="1" applyFill="1" applyBorder="1" applyAlignment="1">
      <alignment horizontal="center" vertical="center" wrapText="1"/>
    </xf>
    <xf numFmtId="4" fontId="14" fillId="0" borderId="4"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4" fontId="12" fillId="0" borderId="4" xfId="0"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0" fillId="0" borderId="0" xfId="0" applyFont="1" applyFill="1" applyAlignment="1">
      <alignment horizontal="left" vertical="top" wrapText="1"/>
    </xf>
    <xf numFmtId="49" fontId="12" fillId="0" borderId="1" xfId="0" applyNumberFormat="1"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4" fontId="14" fillId="4" borderId="3"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0" fontId="0" fillId="0" borderId="0" xfId="0" applyFill="1" applyAlignment="1">
      <alignment horizontal="left" vertical="top" wrapText="1"/>
    </xf>
    <xf numFmtId="4" fontId="12" fillId="2" borderId="8" xfId="0" applyNumberFormat="1" applyFont="1" applyFill="1" applyBorder="1" applyAlignment="1">
      <alignment horizontal="center" vertical="center" wrapText="1"/>
    </xf>
    <xf numFmtId="4" fontId="12" fillId="2" borderId="3" xfId="0" applyNumberFormat="1" applyFont="1" applyFill="1" applyBorder="1" applyAlignment="1">
      <alignment horizontal="center" vertical="center" wrapText="1"/>
    </xf>
    <xf numFmtId="4" fontId="12" fillId="2" borderId="4"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4"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 fontId="14" fillId="2" borderId="2" xfId="0" applyNumberFormat="1" applyFont="1" applyFill="1" applyBorder="1" applyAlignment="1">
      <alignment horizontal="center" vertical="center" wrapText="1"/>
    </xf>
    <xf numFmtId="4" fontId="14" fillId="2" borderId="3" xfId="0" applyNumberFormat="1" applyFont="1" applyFill="1" applyBorder="1" applyAlignment="1">
      <alignment horizontal="center" vertical="center" wrapText="1"/>
    </xf>
    <xf numFmtId="4" fontId="14" fillId="2" borderId="4"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90"/>
  <sheetViews>
    <sheetView tabSelected="1" zoomScaleNormal="100" workbookViewId="0">
      <pane ySplit="6" topLeftCell="A7" activePane="bottomLeft" state="frozen"/>
      <selection pane="bottomLeft" activeCell="D168" sqref="D168"/>
    </sheetView>
  </sheetViews>
  <sheetFormatPr defaultColWidth="9" defaultRowHeight="15.75" x14ac:dyDescent="0.25"/>
  <cols>
    <col min="1" max="1" width="5.375" style="100" customWidth="1"/>
    <col min="2" max="2" width="36.125" style="37" customWidth="1"/>
    <col min="3" max="3" width="11.875" style="174" customWidth="1"/>
    <col min="4" max="4" width="13.875" style="175" customWidth="1"/>
    <col min="5" max="5" width="8.875" style="37" customWidth="1"/>
    <col min="6" max="6" width="13.25" style="37" customWidth="1"/>
    <col min="7" max="7" width="17.375" style="37" customWidth="1"/>
    <col min="8" max="8" width="11.375" style="37" bestFit="1" customWidth="1"/>
    <col min="9" max="16384" width="9" style="37"/>
  </cols>
  <sheetData>
    <row r="1" spans="1:8" x14ac:dyDescent="0.25">
      <c r="A1" s="195" t="s">
        <v>213</v>
      </c>
      <c r="B1" s="196"/>
    </row>
    <row r="2" spans="1:8" x14ac:dyDescent="0.25">
      <c r="A2" s="197" t="s">
        <v>214</v>
      </c>
      <c r="B2" s="197"/>
      <c r="C2" s="197"/>
      <c r="D2" s="197"/>
      <c r="E2" s="197"/>
      <c r="F2" s="197"/>
    </row>
    <row r="3" spans="1:8" x14ac:dyDescent="0.25">
      <c r="A3" s="197" t="s">
        <v>215</v>
      </c>
      <c r="B3" s="197"/>
      <c r="C3" s="197"/>
      <c r="D3" s="197"/>
      <c r="E3" s="197"/>
      <c r="F3" s="197"/>
    </row>
    <row r="4" spans="1:8" ht="15" customHeight="1" x14ac:dyDescent="0.25">
      <c r="A4" s="198" t="s">
        <v>246</v>
      </c>
      <c r="B4" s="199"/>
      <c r="C4" s="199"/>
      <c r="D4" s="199"/>
      <c r="E4" s="199"/>
      <c r="F4" s="199"/>
    </row>
    <row r="5" spans="1:8" s="38" customFormat="1" ht="38.25" customHeight="1" x14ac:dyDescent="0.2">
      <c r="A5" s="200" t="s">
        <v>66</v>
      </c>
      <c r="B5" s="200" t="s">
        <v>81</v>
      </c>
      <c r="C5" s="200" t="s">
        <v>135</v>
      </c>
      <c r="D5" s="200"/>
      <c r="E5" s="200"/>
      <c r="F5" s="201" t="s">
        <v>134</v>
      </c>
    </row>
    <row r="6" spans="1:8" s="38" customFormat="1" ht="17.25" customHeight="1" x14ac:dyDescent="0.2">
      <c r="A6" s="200"/>
      <c r="B6" s="200"/>
      <c r="C6" s="185" t="s">
        <v>245</v>
      </c>
      <c r="D6" s="184" t="s">
        <v>132</v>
      </c>
      <c r="E6" s="184" t="s">
        <v>133</v>
      </c>
      <c r="F6" s="202"/>
    </row>
    <row r="7" spans="1:8" s="102" customFormat="1" ht="12" x14ac:dyDescent="0.2">
      <c r="A7" s="101">
        <v>1</v>
      </c>
      <c r="B7" s="101">
        <v>2</v>
      </c>
      <c r="C7" s="176">
        <v>3</v>
      </c>
      <c r="D7" s="101">
        <v>4</v>
      </c>
      <c r="E7" s="101">
        <v>5</v>
      </c>
      <c r="F7" s="101">
        <v>6</v>
      </c>
    </row>
    <row r="8" spans="1:8" x14ac:dyDescent="0.25">
      <c r="A8" s="41">
        <f>'изм. 31'!A10</f>
        <v>1</v>
      </c>
      <c r="B8" s="104" t="str">
        <f>'изм. 31'!B10</f>
        <v>Всего по муниципальной программе, в том числе:</v>
      </c>
      <c r="C8" s="109">
        <f>C9+C10+C11+C12</f>
        <v>196410040.06999999</v>
      </c>
      <c r="D8" s="109">
        <f>D9+D10+D11+D12</f>
        <v>184159090.74000001</v>
      </c>
      <c r="E8" s="173">
        <f>D8/C8*100+IF(D8/C8=0,0,D8/C8/100)</f>
        <v>93.771940876053819</v>
      </c>
      <c r="F8" s="108"/>
    </row>
    <row r="9" spans="1:8" x14ac:dyDescent="0.25">
      <c r="A9" s="41">
        <f>'изм. 31'!A11</f>
        <v>2</v>
      </c>
      <c r="B9" s="98" t="str">
        <f>'изм. 31'!B11</f>
        <v>федеральный бюджет</v>
      </c>
      <c r="C9" s="106">
        <f t="shared" ref="C9:D12" si="0">C14+C19</f>
        <v>0</v>
      </c>
      <c r="D9" s="111">
        <f t="shared" si="0"/>
        <v>0</v>
      </c>
      <c r="E9" s="172">
        <v>0</v>
      </c>
      <c r="F9" s="108"/>
    </row>
    <row r="10" spans="1:8" ht="15" customHeight="1" x14ac:dyDescent="0.25">
      <c r="A10" s="184">
        <f>'изм. 31'!A12</f>
        <v>3</v>
      </c>
      <c r="B10" s="98" t="str">
        <f>'изм. 31'!B12</f>
        <v>областной бюджет</v>
      </c>
      <c r="C10" s="106">
        <f t="shared" si="0"/>
        <v>763470</v>
      </c>
      <c r="D10" s="111">
        <f>D15+D20</f>
        <v>763470</v>
      </c>
      <c r="E10" s="172">
        <f>D10/C10*100+IF(D10/C10=0,0,D10/C10/100)</f>
        <v>100.01</v>
      </c>
      <c r="F10" s="108"/>
      <c r="H10" s="146"/>
    </row>
    <row r="11" spans="1:8" ht="15" customHeight="1" x14ac:dyDescent="0.25">
      <c r="A11" s="184">
        <f>'изм. 31'!A13</f>
        <v>4</v>
      </c>
      <c r="B11" s="98" t="str">
        <f>'изм. 31'!B13</f>
        <v>местный бюджет</v>
      </c>
      <c r="C11" s="106">
        <f t="shared" si="0"/>
        <v>172863974.54999998</v>
      </c>
      <c r="D11" s="111">
        <f t="shared" si="0"/>
        <v>170394583.16</v>
      </c>
      <c r="E11" s="172">
        <f>D11/C11*100+IF(D11/C11=0,0,D11/C11/100)</f>
        <v>98.581340075011028</v>
      </c>
      <c r="F11" s="108"/>
      <c r="H11" s="146"/>
    </row>
    <row r="12" spans="1:8" x14ac:dyDescent="0.25">
      <c r="A12" s="184">
        <f>'изм. 31'!A14</f>
        <v>5</v>
      </c>
      <c r="B12" s="98" t="str">
        <f>'изм. 31'!B14</f>
        <v>внебюджетные источники</v>
      </c>
      <c r="C12" s="106">
        <f t="shared" si="0"/>
        <v>22782595.52</v>
      </c>
      <c r="D12" s="111">
        <f t="shared" si="0"/>
        <v>13001037.58</v>
      </c>
      <c r="E12" s="172">
        <f t="shared" ref="E12:E22" si="1">D12/C12*100+IF(D12/C12=0,0,D12/C12/100)</f>
        <v>57.071362533490657</v>
      </c>
      <c r="F12" s="108"/>
    </row>
    <row r="13" spans="1:8" x14ac:dyDescent="0.25">
      <c r="A13" s="184">
        <f>'изм. 31'!A15</f>
        <v>6</v>
      </c>
      <c r="B13" s="104" t="str">
        <f>'изм. 31'!B15</f>
        <v>Капитальные вложения, всего:</v>
      </c>
      <c r="C13" s="109">
        <f>C14+C15+C16+C17</f>
        <v>0</v>
      </c>
      <c r="D13" s="110">
        <f>SUM(D14:D17)</f>
        <v>0</v>
      </c>
      <c r="E13" s="173">
        <v>0</v>
      </c>
      <c r="F13" s="108"/>
    </row>
    <row r="14" spans="1:8" x14ac:dyDescent="0.25">
      <c r="A14" s="184">
        <f>'изм. 31'!A16</f>
        <v>7</v>
      </c>
      <c r="B14" s="98" t="str">
        <f>'изм. 31'!B16</f>
        <v>федеральный бюджет</v>
      </c>
      <c r="C14" s="106">
        <f>Лист1!I16</f>
        <v>0</v>
      </c>
      <c r="D14" s="111">
        <f>D31+D249+D352+D410+D471+D534</f>
        <v>0</v>
      </c>
      <c r="E14" s="172">
        <v>0</v>
      </c>
      <c r="F14" s="108"/>
    </row>
    <row r="15" spans="1:8" x14ac:dyDescent="0.25">
      <c r="A15" s="184">
        <f>'изм. 31'!A17</f>
        <v>8</v>
      </c>
      <c r="B15" s="98" t="str">
        <f>'изм. 31'!B17</f>
        <v>областной бюджет</v>
      </c>
      <c r="C15" s="106">
        <f>Лист1!I17</f>
        <v>0</v>
      </c>
      <c r="D15" s="111">
        <f>D32+D250+D411+D472+D535</f>
        <v>0</v>
      </c>
      <c r="E15" s="172">
        <v>0</v>
      </c>
      <c r="F15" s="108"/>
    </row>
    <row r="16" spans="1:8" x14ac:dyDescent="0.25">
      <c r="A16" s="184">
        <f>'изм. 31'!A18</f>
        <v>9</v>
      </c>
      <c r="B16" s="98" t="str">
        <f>'изм. 31'!B18</f>
        <v>местный бюджет</v>
      </c>
      <c r="C16" s="106">
        <v>0</v>
      </c>
      <c r="D16" s="111">
        <f>D33+D251+D354+D412+D473+D536</f>
        <v>0</v>
      </c>
      <c r="E16" s="172">
        <v>0</v>
      </c>
      <c r="F16" s="108"/>
    </row>
    <row r="17" spans="1:6" x14ac:dyDescent="0.25">
      <c r="A17" s="184">
        <f>'изм. 31'!A19</f>
        <v>10</v>
      </c>
      <c r="B17" s="98" t="str">
        <f>'изм. 31'!B19</f>
        <v>внебюджетные источники</v>
      </c>
      <c r="C17" s="106">
        <f>Лист1!I19</f>
        <v>0</v>
      </c>
      <c r="D17" s="111">
        <f>D34+D252+D355+D413+D474+D537</f>
        <v>0</v>
      </c>
      <c r="E17" s="172">
        <v>0</v>
      </c>
      <c r="F17" s="108"/>
    </row>
    <row r="18" spans="1:6" x14ac:dyDescent="0.25">
      <c r="A18" s="184">
        <f>'изм. 31'!A20</f>
        <v>11</v>
      </c>
      <c r="B18" s="104" t="str">
        <f>'изм. 31'!B20</f>
        <v>Прочие нужды, всего:</v>
      </c>
      <c r="C18" s="109">
        <f>-C19+C20+C21+C22</f>
        <v>196410040.06999999</v>
      </c>
      <c r="D18" s="110">
        <f>SUM(D19:D22)</f>
        <v>184159090.74000001</v>
      </c>
      <c r="E18" s="173">
        <f t="shared" si="1"/>
        <v>93.771940876053819</v>
      </c>
      <c r="F18" s="108"/>
    </row>
    <row r="19" spans="1:6" x14ac:dyDescent="0.25">
      <c r="A19" s="184">
        <f>'изм. 31'!A21</f>
        <v>12</v>
      </c>
      <c r="B19" s="98" t="str">
        <f>'изм. 31'!B21</f>
        <v>федеральный бюджет</v>
      </c>
      <c r="C19" s="106">
        <f t="shared" ref="C19:D21" si="2">C64+C267+C370+C428+C489+C552</f>
        <v>0</v>
      </c>
      <c r="D19" s="111">
        <f t="shared" si="2"/>
        <v>0</v>
      </c>
      <c r="E19" s="172">
        <v>0</v>
      </c>
      <c r="F19" s="108"/>
    </row>
    <row r="20" spans="1:6" x14ac:dyDescent="0.25">
      <c r="A20" s="184">
        <f>'изм. 31'!A22</f>
        <v>13</v>
      </c>
      <c r="B20" s="98" t="str">
        <f>'изм. 31'!B22</f>
        <v>областной бюджет</v>
      </c>
      <c r="C20" s="106">
        <f t="shared" si="2"/>
        <v>763470</v>
      </c>
      <c r="D20" s="111">
        <f t="shared" si="2"/>
        <v>763470</v>
      </c>
      <c r="E20" s="172">
        <f>D20/C20*100+IF(D20/C20=0,0,D20/C20/100)</f>
        <v>100.01</v>
      </c>
      <c r="F20" s="108"/>
    </row>
    <row r="21" spans="1:6" x14ac:dyDescent="0.25">
      <c r="A21" s="184">
        <f>'изм. 31'!A23</f>
        <v>14</v>
      </c>
      <c r="B21" s="98" t="str">
        <f>'изм. 31'!B23</f>
        <v>местный бюджет</v>
      </c>
      <c r="C21" s="106">
        <f t="shared" si="2"/>
        <v>172863974.54999998</v>
      </c>
      <c r="D21" s="111">
        <f t="shared" si="2"/>
        <v>170394583.16</v>
      </c>
      <c r="E21" s="172">
        <f t="shared" si="1"/>
        <v>98.581340075011028</v>
      </c>
      <c r="F21" s="108"/>
    </row>
    <row r="22" spans="1:6" x14ac:dyDescent="0.25">
      <c r="A22" s="184">
        <f>'изм. 31'!A24</f>
        <v>15</v>
      </c>
      <c r="B22" s="98" t="str">
        <f>'изм. 31'!B24</f>
        <v>внебюджетные источники</v>
      </c>
      <c r="C22" s="106">
        <f>C67+C270+C373+C431+C492+C555</f>
        <v>22782595.52</v>
      </c>
      <c r="D22" s="111">
        <f>D28+D270+D373+D431+D492+D537</f>
        <v>13001037.58</v>
      </c>
      <c r="E22" s="172">
        <f t="shared" si="1"/>
        <v>57.071362533490657</v>
      </c>
      <c r="F22" s="108"/>
    </row>
    <row r="23" spans="1:6" ht="24.75" customHeight="1" x14ac:dyDescent="0.25">
      <c r="A23" s="184">
        <f>'изм. 31'!A25</f>
        <v>16</v>
      </c>
      <c r="B23" s="192" t="str">
        <f>'изм. 31'!B25</f>
        <v>ПОДПРОГРАММА 1 "РАЗВИТИЕ КУЛЬТУРЫ И ИСКУССТВА"</v>
      </c>
      <c r="C23" s="193"/>
      <c r="D23" s="193"/>
      <c r="E23" s="193"/>
      <c r="F23" s="194"/>
    </row>
    <row r="24" spans="1:6" ht="24" x14ac:dyDescent="0.25">
      <c r="A24" s="184">
        <f>'изм. 31'!A26</f>
        <v>17</v>
      </c>
      <c r="B24" s="190" t="str">
        <f>'изм. 31'!B26</f>
        <v>Всего по подпрограмме 1,                                в том числе:</v>
      </c>
      <c r="C24" s="109">
        <f>C25+C26+C27+C28</f>
        <v>121128558.63999999</v>
      </c>
      <c r="D24" s="109">
        <f>D25+D26+D27+D28</f>
        <v>112083505.02000001</v>
      </c>
      <c r="E24" s="173">
        <f t="shared" ref="E24:E90" si="3">D24/C24*100+IF(D24/C24=0,0,D24/C24/100)</f>
        <v>92.541936128913235</v>
      </c>
      <c r="F24" s="108"/>
    </row>
    <row r="25" spans="1:6" x14ac:dyDescent="0.25">
      <c r="A25" s="184">
        <f>'изм. 31'!A27</f>
        <v>18</v>
      </c>
      <c r="B25" s="98" t="str">
        <f>'изм. 31'!B27</f>
        <v>федеральный бюджет</v>
      </c>
      <c r="C25" s="106">
        <f t="shared" ref="C25:D27" si="4">C31+C64</f>
        <v>0</v>
      </c>
      <c r="D25" s="111">
        <f t="shared" si="4"/>
        <v>0</v>
      </c>
      <c r="E25" s="172">
        <v>0</v>
      </c>
      <c r="F25" s="108"/>
    </row>
    <row r="26" spans="1:6" x14ac:dyDescent="0.25">
      <c r="A26" s="184">
        <f>'изм. 31'!A28</f>
        <v>19</v>
      </c>
      <c r="B26" s="98" t="str">
        <f>'изм. 31'!B28</f>
        <v>областной бюджет</v>
      </c>
      <c r="C26" s="106">
        <f t="shared" si="4"/>
        <v>691470</v>
      </c>
      <c r="D26" s="111">
        <f t="shared" si="4"/>
        <v>691470</v>
      </c>
      <c r="E26" s="172">
        <f>D26/C26*100+IF(D26/C26=0,0,D26/C26/100)</f>
        <v>100.01</v>
      </c>
      <c r="F26" s="108"/>
    </row>
    <row r="27" spans="1:6" x14ac:dyDescent="0.25">
      <c r="A27" s="184">
        <f>'изм. 31'!A29</f>
        <v>20</v>
      </c>
      <c r="B27" s="98" t="str">
        <f>'изм. 31'!B29</f>
        <v>местный бюджет</v>
      </c>
      <c r="C27" s="106">
        <f t="shared" si="4"/>
        <v>104199141.78999999</v>
      </c>
      <c r="D27" s="111">
        <f>D33+D66</f>
        <v>103065261.95</v>
      </c>
      <c r="E27" s="172">
        <f t="shared" si="3"/>
        <v>98.921705789027129</v>
      </c>
      <c r="F27" s="108"/>
    </row>
    <row r="28" spans="1:6" x14ac:dyDescent="0.25">
      <c r="A28" s="184">
        <f>'изм. 31'!A30</f>
        <v>21</v>
      </c>
      <c r="B28" s="98" t="str">
        <f>'изм. 31'!B30</f>
        <v>внебюджетные источники</v>
      </c>
      <c r="C28" s="106">
        <f>C34+C67</f>
        <v>16237946.85</v>
      </c>
      <c r="D28" s="111">
        <f>D67+D34</f>
        <v>8326773.0700000003</v>
      </c>
      <c r="E28" s="172">
        <f t="shared" si="3"/>
        <v>51.28484422466871</v>
      </c>
      <c r="F28" s="108"/>
    </row>
    <row r="29" spans="1:6" x14ac:dyDescent="0.25">
      <c r="A29" s="184">
        <f>'изм. 31'!A31</f>
        <v>22</v>
      </c>
      <c r="B29" s="104" t="str">
        <f>'изм. 31'!B31</f>
        <v>1. Капитальные вложения</v>
      </c>
      <c r="C29" s="109"/>
      <c r="D29" s="111"/>
      <c r="E29" s="172"/>
      <c r="F29" s="108"/>
    </row>
    <row r="30" spans="1:6" ht="24.75" x14ac:dyDescent="0.25">
      <c r="A30" s="184">
        <f>'изм. 31'!A32</f>
        <v>23</v>
      </c>
      <c r="B30" s="98" t="str">
        <f>'изм. 31'!B32</f>
        <v>Всего по направлению «Капитальные вложения",                   в том числе:</v>
      </c>
      <c r="C30" s="109">
        <v>0</v>
      </c>
      <c r="D30" s="110">
        <f>SUM(D31:D34)</f>
        <v>0</v>
      </c>
      <c r="E30" s="173">
        <v>0</v>
      </c>
      <c r="F30" s="108"/>
    </row>
    <row r="31" spans="1:6" x14ac:dyDescent="0.25">
      <c r="A31" s="184">
        <f>'изм. 31'!A33</f>
        <v>24</v>
      </c>
      <c r="B31" s="98" t="str">
        <f>'изм. 31'!B33</f>
        <v>федеральный бюджет</v>
      </c>
      <c r="C31" s="106">
        <f>Лист1!I33</f>
        <v>0</v>
      </c>
      <c r="D31" s="111">
        <f>D42+D47</f>
        <v>0</v>
      </c>
      <c r="E31" s="172">
        <v>0</v>
      </c>
      <c r="F31" s="108"/>
    </row>
    <row r="32" spans="1:6" x14ac:dyDescent="0.25">
      <c r="A32" s="184">
        <f>'изм. 31'!A34</f>
        <v>25</v>
      </c>
      <c r="B32" s="98" t="str">
        <f>'изм. 31'!B34</f>
        <v>областной бюджет</v>
      </c>
      <c r="C32" s="106">
        <f>Лист1!I34</f>
        <v>0</v>
      </c>
      <c r="D32" s="111">
        <v>0</v>
      </c>
      <c r="E32" s="172">
        <v>0</v>
      </c>
      <c r="F32" s="108"/>
    </row>
    <row r="33" spans="1:6" x14ac:dyDescent="0.25">
      <c r="A33" s="184">
        <f>'изм. 31'!A35</f>
        <v>26</v>
      </c>
      <c r="B33" s="98" t="str">
        <f>'изм. 31'!B35</f>
        <v>местный бюджет</v>
      </c>
      <c r="C33" s="106">
        <v>0</v>
      </c>
      <c r="D33" s="111">
        <f>D44+D49</f>
        <v>0</v>
      </c>
      <c r="E33" s="172">
        <v>0</v>
      </c>
      <c r="F33" s="108"/>
    </row>
    <row r="34" spans="1:6" x14ac:dyDescent="0.25">
      <c r="A34" s="184">
        <f>'изм. 31'!A36</f>
        <v>27</v>
      </c>
      <c r="B34" s="98" t="str">
        <f>'изм. 31'!B36</f>
        <v>внебюджетные источники</v>
      </c>
      <c r="C34" s="106">
        <f>Лист1!I36</f>
        <v>0</v>
      </c>
      <c r="D34" s="111">
        <f>D45+D50</f>
        <v>0</v>
      </c>
      <c r="E34" s="172">
        <v>0</v>
      </c>
      <c r="F34" s="108"/>
    </row>
    <row r="35" spans="1:6" ht="24.75" hidden="1" x14ac:dyDescent="0.25">
      <c r="A35" s="184">
        <f>'изм. 31'!A37</f>
        <v>28</v>
      </c>
      <c r="B35" s="105" t="str">
        <f>'изм. 31'!B37</f>
        <v>1.1. Бюджетные инвестиции в объекты капитального строительства</v>
      </c>
      <c r="C35" s="109">
        <f>Лист1!I37</f>
        <v>0</v>
      </c>
      <c r="D35" s="177">
        <v>0</v>
      </c>
      <c r="E35" s="172">
        <v>0</v>
      </c>
      <c r="F35" s="108"/>
    </row>
    <row r="36" spans="1:6" ht="24.75" hidden="1" x14ac:dyDescent="0.25">
      <c r="A36" s="184">
        <f>'изм. 31'!A38</f>
        <v>29</v>
      </c>
      <c r="B36" s="98" t="str">
        <f>'изм. 31'!B38</f>
        <v>Бюджетные инвестиции в объекты капитального строительства, всего, в том числе</v>
      </c>
      <c r="C36" s="109">
        <f>Лист1!I38</f>
        <v>2982395.57</v>
      </c>
      <c r="D36" s="177">
        <v>0</v>
      </c>
      <c r="E36" s="172">
        <v>0</v>
      </c>
      <c r="F36" s="108"/>
    </row>
    <row r="37" spans="1:6" hidden="1" x14ac:dyDescent="0.25">
      <c r="A37" s="184">
        <f>'изм. 31'!A39</f>
        <v>30</v>
      </c>
      <c r="B37" s="98" t="str">
        <f>'изм. 31'!B39</f>
        <v>федеральный бюджет</v>
      </c>
      <c r="C37" s="109">
        <f>Лист1!I39</f>
        <v>0</v>
      </c>
      <c r="D37" s="177">
        <v>0</v>
      </c>
      <c r="E37" s="172">
        <v>0</v>
      </c>
      <c r="F37" s="108"/>
    </row>
    <row r="38" spans="1:6" hidden="1" x14ac:dyDescent="0.25">
      <c r="A38" s="184">
        <f>'изм. 31'!A40</f>
        <v>31</v>
      </c>
      <c r="B38" s="98" t="str">
        <f>'изм. 31'!B40</f>
        <v>областной бюджет</v>
      </c>
      <c r="C38" s="109">
        <f>Лист1!I40</f>
        <v>0</v>
      </c>
      <c r="D38" s="177">
        <v>0</v>
      </c>
      <c r="E38" s="172">
        <v>0</v>
      </c>
      <c r="F38" s="108"/>
    </row>
    <row r="39" spans="1:6" hidden="1" x14ac:dyDescent="0.25">
      <c r="A39" s="184">
        <f>'изм. 31'!A41</f>
        <v>32</v>
      </c>
      <c r="B39" s="98" t="str">
        <f>'изм. 31'!B41</f>
        <v>местный бюджет</v>
      </c>
      <c r="C39" s="109">
        <f>Лист1!I41</f>
        <v>2982395.57</v>
      </c>
      <c r="D39" s="177">
        <v>0</v>
      </c>
      <c r="E39" s="172">
        <v>0</v>
      </c>
      <c r="F39" s="108"/>
    </row>
    <row r="40" spans="1:6" hidden="1" x14ac:dyDescent="0.25">
      <c r="A40" s="184">
        <f>'изм. 31'!A42</f>
        <v>33</v>
      </c>
      <c r="B40" s="98" t="str">
        <f>'изм. 31'!B42</f>
        <v>внебюджетные источники</v>
      </c>
      <c r="C40" s="109">
        <f>Лист1!I42</f>
        <v>0</v>
      </c>
      <c r="D40" s="177">
        <v>0</v>
      </c>
      <c r="E40" s="172">
        <v>0</v>
      </c>
      <c r="F40" s="108"/>
    </row>
    <row r="41" spans="1:6" ht="73.5" customHeight="1" x14ac:dyDescent="0.25">
      <c r="A41" s="184">
        <f>'изм. 31'!A43</f>
        <v>34</v>
      </c>
      <c r="B41" s="171" t="s">
        <v>212</v>
      </c>
      <c r="C41" s="109">
        <f>C42+C43+C44+C45</f>
        <v>0</v>
      </c>
      <c r="D41" s="110">
        <v>0</v>
      </c>
      <c r="E41" s="173">
        <v>0</v>
      </c>
      <c r="F41" s="108"/>
    </row>
    <row r="42" spans="1:6" x14ac:dyDescent="0.25">
      <c r="A42" s="184">
        <f>'изм. 31'!A44</f>
        <v>35</v>
      </c>
      <c r="B42" s="98" t="str">
        <f>'изм. 31'!B44</f>
        <v>федеральный бюджет</v>
      </c>
      <c r="C42" s="106">
        <f>Лист1!I44</f>
        <v>0</v>
      </c>
      <c r="D42" s="111">
        <v>0</v>
      </c>
      <c r="E42" s="172">
        <v>0</v>
      </c>
      <c r="F42" s="108"/>
    </row>
    <row r="43" spans="1:6" x14ac:dyDescent="0.25">
      <c r="A43" s="184">
        <f>'изм. 31'!A45</f>
        <v>36</v>
      </c>
      <c r="B43" s="98" t="str">
        <f>'изм. 31'!B45</f>
        <v>областной бюджет</v>
      </c>
      <c r="C43" s="106">
        <f>Лист1!I45</f>
        <v>0</v>
      </c>
      <c r="D43" s="111">
        <f>+D48</f>
        <v>0</v>
      </c>
      <c r="E43" s="172">
        <v>0</v>
      </c>
      <c r="F43" s="108"/>
    </row>
    <row r="44" spans="1:6" x14ac:dyDescent="0.25">
      <c r="A44" s="184">
        <f>'изм. 31'!A46</f>
        <v>37</v>
      </c>
      <c r="B44" s="98" t="str">
        <f>'изм. 31'!B46</f>
        <v>местный бюджет</v>
      </c>
      <c r="C44" s="106">
        <v>0</v>
      </c>
      <c r="D44" s="111">
        <v>0</v>
      </c>
      <c r="E44" s="172">
        <v>0</v>
      </c>
      <c r="F44" s="108"/>
    </row>
    <row r="45" spans="1:6" x14ac:dyDescent="0.25">
      <c r="A45" s="184">
        <f>'изм. 31'!A47</f>
        <v>38</v>
      </c>
      <c r="B45" s="98" t="str">
        <f>'изм. 31'!B47</f>
        <v>внебюджетные источники</v>
      </c>
      <c r="C45" s="106">
        <f>Лист1!I47</f>
        <v>0</v>
      </c>
      <c r="D45" s="111">
        <v>0</v>
      </c>
      <c r="E45" s="172">
        <v>0</v>
      </c>
      <c r="F45" s="108"/>
    </row>
    <row r="46" spans="1:6" ht="36.75" x14ac:dyDescent="0.25">
      <c r="A46" s="184">
        <f>'изм. 31'!A48</f>
        <v>39</v>
      </c>
      <c r="B46" s="107" t="str">
        <f>'изм. 31'!B48</f>
        <v>Мероприятие 2.  Строительство сценической площадки в парке Кушвинского дворца культуры МАУККГО "Кушвинский дворец культуры"</v>
      </c>
      <c r="C46" s="109">
        <f>Лист1!I48</f>
        <v>0</v>
      </c>
      <c r="D46" s="110">
        <v>0</v>
      </c>
      <c r="E46" s="173">
        <v>0</v>
      </c>
      <c r="F46" s="108"/>
    </row>
    <row r="47" spans="1:6" x14ac:dyDescent="0.25">
      <c r="A47" s="184">
        <f>'изм. 31'!A49</f>
        <v>40</v>
      </c>
      <c r="B47" s="98" t="str">
        <f>'изм. 31'!B49</f>
        <v>федеральный бюджет</v>
      </c>
      <c r="C47" s="106">
        <f>Лист1!I49</f>
        <v>0</v>
      </c>
      <c r="D47" s="111">
        <v>0</v>
      </c>
      <c r="E47" s="172">
        <v>0</v>
      </c>
      <c r="F47" s="108"/>
    </row>
    <row r="48" spans="1:6" x14ac:dyDescent="0.25">
      <c r="A48" s="184">
        <f>'изм. 31'!A50</f>
        <v>41</v>
      </c>
      <c r="B48" s="98" t="str">
        <f>'изм. 31'!B50</f>
        <v>областной бюджет</v>
      </c>
      <c r="C48" s="106">
        <f>Лист1!I50</f>
        <v>0</v>
      </c>
      <c r="D48" s="111">
        <v>0</v>
      </c>
      <c r="E48" s="172">
        <v>0</v>
      </c>
      <c r="F48" s="108"/>
    </row>
    <row r="49" spans="1:6" x14ac:dyDescent="0.25">
      <c r="A49" s="184">
        <f>'изм. 31'!A51</f>
        <v>42</v>
      </c>
      <c r="B49" s="98" t="str">
        <f>'изм. 31'!B51</f>
        <v>местный бюджет</v>
      </c>
      <c r="C49" s="106">
        <f>Лист1!I51</f>
        <v>0</v>
      </c>
      <c r="D49" s="111">
        <v>0</v>
      </c>
      <c r="E49" s="172">
        <v>0</v>
      </c>
      <c r="F49" s="108"/>
    </row>
    <row r="50" spans="1:6" x14ac:dyDescent="0.25">
      <c r="A50" s="184">
        <f>'изм. 31'!A52</f>
        <v>43</v>
      </c>
      <c r="B50" s="98" t="str">
        <f>'изм. 31'!B52</f>
        <v>внебюджетные источники</v>
      </c>
      <c r="C50" s="106">
        <f>Лист1!I52</f>
        <v>0</v>
      </c>
      <c r="D50" s="111">
        <v>0</v>
      </c>
      <c r="E50" s="172">
        <v>0</v>
      </c>
      <c r="F50" s="108"/>
    </row>
    <row r="51" spans="1:6" hidden="1" x14ac:dyDescent="0.25">
      <c r="A51" s="184">
        <f>'изм. 31'!A53</f>
        <v>44</v>
      </c>
      <c r="B51" s="98" t="str">
        <f>'изм. 31'!B53</f>
        <v>1.2. Иные капитальные вложения</v>
      </c>
      <c r="C51" s="106">
        <f>Лист1!I53</f>
        <v>0</v>
      </c>
      <c r="D51" s="111">
        <v>0</v>
      </c>
      <c r="E51" s="172">
        <v>0</v>
      </c>
      <c r="F51" s="108"/>
    </row>
    <row r="52" spans="1:6" hidden="1" x14ac:dyDescent="0.25">
      <c r="A52" s="184">
        <f>'изм. 31'!A54</f>
        <v>45</v>
      </c>
      <c r="B52" s="98" t="str">
        <f>'изм. 31'!B54</f>
        <v>Иные капитальные вложения, всего, в том числе</v>
      </c>
      <c r="C52" s="106">
        <f>Лист1!I54</f>
        <v>0</v>
      </c>
      <c r="D52" s="111">
        <v>0</v>
      </c>
      <c r="E52" s="172">
        <v>0</v>
      </c>
      <c r="F52" s="108"/>
    </row>
    <row r="53" spans="1:6" hidden="1" x14ac:dyDescent="0.25">
      <c r="A53" s="184">
        <f>'изм. 31'!A55</f>
        <v>46</v>
      </c>
      <c r="B53" s="98" t="str">
        <f>'изм. 31'!B55</f>
        <v>федеральный бюджет</v>
      </c>
      <c r="C53" s="106">
        <f>Лист1!I55</f>
        <v>0</v>
      </c>
      <c r="D53" s="111">
        <v>0</v>
      </c>
      <c r="E53" s="172">
        <v>0</v>
      </c>
      <c r="F53" s="108"/>
    </row>
    <row r="54" spans="1:6" hidden="1" x14ac:dyDescent="0.25">
      <c r="A54" s="184">
        <f>'изм. 31'!A56</f>
        <v>47</v>
      </c>
      <c r="B54" s="98" t="str">
        <f>'изм. 31'!B56</f>
        <v>областной бюджет</v>
      </c>
      <c r="C54" s="106">
        <f>Лист1!I56</f>
        <v>0</v>
      </c>
      <c r="D54" s="111">
        <v>0</v>
      </c>
      <c r="E54" s="172">
        <v>0</v>
      </c>
      <c r="F54" s="108"/>
    </row>
    <row r="55" spans="1:6" hidden="1" x14ac:dyDescent="0.25">
      <c r="A55" s="184">
        <f>'изм. 31'!A57</f>
        <v>48</v>
      </c>
      <c r="B55" s="98" t="str">
        <f>'изм. 31'!B57</f>
        <v>местный бюджет</v>
      </c>
      <c r="C55" s="106">
        <f>Лист1!I57</f>
        <v>0</v>
      </c>
      <c r="D55" s="111">
        <v>0</v>
      </c>
      <c r="E55" s="172">
        <v>0</v>
      </c>
      <c r="F55" s="108"/>
    </row>
    <row r="56" spans="1:6" hidden="1" x14ac:dyDescent="0.25">
      <c r="A56" s="184">
        <f>'изм. 31'!A58</f>
        <v>49</v>
      </c>
      <c r="B56" s="98" t="str">
        <f>'изм. 31'!B58</f>
        <v>внебюджетные источники</v>
      </c>
      <c r="C56" s="106">
        <f>Лист1!I58</f>
        <v>0</v>
      </c>
      <c r="D56" s="111">
        <v>0</v>
      </c>
      <c r="E56" s="172">
        <v>0</v>
      </c>
      <c r="F56" s="108"/>
    </row>
    <row r="57" spans="1:6" ht="74.25" customHeight="1" x14ac:dyDescent="0.25">
      <c r="A57" s="184">
        <f>'изм. 31'!A59</f>
        <v>50</v>
      </c>
      <c r="B57" s="171" t="s">
        <v>237</v>
      </c>
      <c r="C57" s="109">
        <v>0</v>
      </c>
      <c r="D57" s="110">
        <v>0</v>
      </c>
      <c r="E57" s="173">
        <v>0</v>
      </c>
      <c r="F57" s="108"/>
    </row>
    <row r="58" spans="1:6" ht="15" customHeight="1" x14ac:dyDescent="0.25">
      <c r="A58" s="184">
        <f>'изм. 31'!A60</f>
        <v>51</v>
      </c>
      <c r="B58" s="98" t="s">
        <v>59</v>
      </c>
      <c r="C58" s="106">
        <v>0</v>
      </c>
      <c r="D58" s="111">
        <v>0</v>
      </c>
      <c r="E58" s="172">
        <v>0</v>
      </c>
      <c r="F58" s="108"/>
    </row>
    <row r="59" spans="1:6" ht="15" customHeight="1" x14ac:dyDescent="0.25">
      <c r="A59" s="184">
        <f>'изм. 31'!A61</f>
        <v>52</v>
      </c>
      <c r="B59" s="98" t="s">
        <v>10</v>
      </c>
      <c r="C59" s="106">
        <v>0</v>
      </c>
      <c r="D59" s="111">
        <v>0</v>
      </c>
      <c r="E59" s="172">
        <v>0</v>
      </c>
      <c r="F59" s="108"/>
    </row>
    <row r="60" spans="1:6" ht="15" customHeight="1" x14ac:dyDescent="0.25">
      <c r="A60" s="184">
        <f>'изм. 31'!A62</f>
        <v>53</v>
      </c>
      <c r="B60" s="98" t="s">
        <v>11</v>
      </c>
      <c r="C60" s="106">
        <v>0</v>
      </c>
      <c r="D60" s="111">
        <v>0</v>
      </c>
      <c r="E60" s="172">
        <v>0</v>
      </c>
      <c r="F60" s="108"/>
    </row>
    <row r="61" spans="1:6" ht="15" customHeight="1" x14ac:dyDescent="0.25">
      <c r="A61" s="184">
        <f>'изм. 31'!A63</f>
        <v>54</v>
      </c>
      <c r="B61" s="98" t="s">
        <v>12</v>
      </c>
      <c r="C61" s="106">
        <v>0</v>
      </c>
      <c r="D61" s="111">
        <v>0</v>
      </c>
      <c r="E61" s="172">
        <v>0</v>
      </c>
      <c r="F61" s="108"/>
    </row>
    <row r="62" spans="1:6" x14ac:dyDescent="0.25">
      <c r="A62" s="184">
        <f>'изм. 31'!A64</f>
        <v>55</v>
      </c>
      <c r="B62" s="104" t="str">
        <f>'изм. 31'!B59</f>
        <v>2. Прочие нужды</v>
      </c>
      <c r="C62" s="106"/>
      <c r="D62" s="111"/>
      <c r="E62" s="172"/>
      <c r="F62" s="108"/>
    </row>
    <row r="63" spans="1:6" x14ac:dyDescent="0.25">
      <c r="A63" s="184">
        <f>'изм. 31'!A65</f>
        <v>56</v>
      </c>
      <c r="B63" s="98" t="str">
        <f>'изм. 31'!B60</f>
        <v>Всего по направлению "Прочие нужды", в том числе:</v>
      </c>
      <c r="C63" s="109">
        <f>C64+C65+C66+C67</f>
        <v>121128558.63999999</v>
      </c>
      <c r="D63" s="110">
        <f>SUM(D64:D67)</f>
        <v>112083505.02000001</v>
      </c>
      <c r="E63" s="173">
        <f t="shared" si="3"/>
        <v>92.541936128913235</v>
      </c>
      <c r="F63" s="108"/>
    </row>
    <row r="64" spans="1:6" x14ac:dyDescent="0.25">
      <c r="A64" s="184">
        <f>'изм. 31'!A66</f>
        <v>57</v>
      </c>
      <c r="B64" s="98" t="str">
        <f>'изм. 31'!B61</f>
        <v>федеральный бюджет</v>
      </c>
      <c r="C64" s="106">
        <f>Лист1!I61</f>
        <v>0</v>
      </c>
      <c r="D64" s="111">
        <f>D69+D79+D97+D102+D112+D155+D160+D165+D175+D185+D195+D200+D230</f>
        <v>0</v>
      </c>
      <c r="E64" s="172">
        <v>0</v>
      </c>
      <c r="F64" s="108"/>
    </row>
    <row r="65" spans="1:8" x14ac:dyDescent="0.25">
      <c r="A65" s="184">
        <f>'изм. 31'!A67</f>
        <v>58</v>
      </c>
      <c r="B65" s="98" t="str">
        <f>'изм. 31'!B62</f>
        <v>областной бюджет</v>
      </c>
      <c r="C65" s="106">
        <f>C70+C80+C98+C103+C113+C156+C161+C166+C186+C196+C201+C206+C211+C216+C221+C226+C231+C235+C239</f>
        <v>691470</v>
      </c>
      <c r="D65" s="111">
        <f>D70+D80+D98+D103+D113+D156+D161+D166+D186+D196+D201+D206+D211+D216+D221+D226+D231+D235+D239</f>
        <v>691470</v>
      </c>
      <c r="E65" s="172">
        <f>D65/C65*100+IF(D65/C65=0,0,D65/C65/100)</f>
        <v>100.01</v>
      </c>
      <c r="F65" s="108"/>
    </row>
    <row r="66" spans="1:8" x14ac:dyDescent="0.25">
      <c r="A66" s="184">
        <f>'изм. 31'!A68</f>
        <v>59</v>
      </c>
      <c r="B66" s="98" t="str">
        <f>'изм. 31'!B63</f>
        <v>местный бюджет</v>
      </c>
      <c r="C66" s="106">
        <f>C71+C81+C99+C104+C114+C157+C162+C167+C177+C187+C197+C202+C207+C212+C217+C222+C227+C232+C236+C240</f>
        <v>104199141.78999999</v>
      </c>
      <c r="D66" s="111">
        <f>D71+D81+D99+D104+D114+D157+D162+D167+D177+D187+D197+D202+D207+D212+D217+D222+D227++D232+D236+D240</f>
        <v>103065261.95</v>
      </c>
      <c r="E66" s="172">
        <f t="shared" si="3"/>
        <v>98.921705789027129</v>
      </c>
      <c r="F66" s="108"/>
      <c r="H66" s="146"/>
    </row>
    <row r="67" spans="1:8" x14ac:dyDescent="0.25">
      <c r="A67" s="184">
        <f>'изм. 31'!A69</f>
        <v>60</v>
      </c>
      <c r="B67" s="98" t="str">
        <f>'изм. 31'!B64</f>
        <v>внебюджетные источники</v>
      </c>
      <c r="C67" s="106">
        <f>C72+C82+C100+C105+C115+C158+C163+C168+C178+C188+C198+C203+C233</f>
        <v>16237946.85</v>
      </c>
      <c r="D67" s="111">
        <f>D72+D82+D100+D105+D115+D158+D163+D168+D178+D188+D198+D203+D208+D213+D218+D223+D228+D233</f>
        <v>8326773.0700000003</v>
      </c>
      <c r="E67" s="172">
        <f t="shared" si="3"/>
        <v>51.28484422466871</v>
      </c>
      <c r="F67" s="108"/>
    </row>
    <row r="68" spans="1:8" ht="24.75" x14ac:dyDescent="0.25">
      <c r="A68" s="184">
        <f>'изм. 31'!A70</f>
        <v>61</v>
      </c>
      <c r="B68" s="107" t="str">
        <f>'изм. 31'!B65</f>
        <v>Мероприятие 1.  Мероприятия в сфере культуры, всего, из них:</v>
      </c>
      <c r="C68" s="109">
        <f>C69+C70+C71+C72</f>
        <v>2267035.34</v>
      </c>
      <c r="D68" s="109">
        <f>D69+D70+D71+D72</f>
        <v>2267035.34</v>
      </c>
      <c r="E68" s="173">
        <f t="shared" si="3"/>
        <v>100.01</v>
      </c>
      <c r="F68" s="108"/>
    </row>
    <row r="69" spans="1:8" x14ac:dyDescent="0.25">
      <c r="A69" s="184">
        <f>'изм. 31'!A71</f>
        <v>62</v>
      </c>
      <c r="B69" s="98" t="str">
        <f>'изм. 31'!B66</f>
        <v>федеральный бюджет</v>
      </c>
      <c r="C69" s="106">
        <f>Лист1!I66</f>
        <v>0</v>
      </c>
      <c r="D69" s="111">
        <v>0</v>
      </c>
      <c r="E69" s="172">
        <v>0</v>
      </c>
      <c r="F69" s="108"/>
    </row>
    <row r="70" spans="1:8" x14ac:dyDescent="0.25">
      <c r="A70" s="184">
        <f>'изм. 31'!A72</f>
        <v>63</v>
      </c>
      <c r="B70" s="98" t="str">
        <f>'изм. 31'!B67</f>
        <v>областной бюджет</v>
      </c>
      <c r="C70" s="106">
        <v>0</v>
      </c>
      <c r="D70" s="111">
        <v>0</v>
      </c>
      <c r="E70" s="172">
        <v>0</v>
      </c>
      <c r="F70" s="108"/>
    </row>
    <row r="71" spans="1:8" x14ac:dyDescent="0.25">
      <c r="A71" s="184">
        <f>'изм. 31'!A73</f>
        <v>64</v>
      </c>
      <c r="B71" s="98" t="str">
        <f>'изм. 31'!B68</f>
        <v>местный бюджет</v>
      </c>
      <c r="C71" s="106">
        <v>2267035.34</v>
      </c>
      <c r="D71" s="111">
        <v>2267035.34</v>
      </c>
      <c r="E71" s="172">
        <f t="shared" si="3"/>
        <v>100.01</v>
      </c>
      <c r="F71" s="108"/>
    </row>
    <row r="72" spans="1:8" x14ac:dyDescent="0.25">
      <c r="A72" s="184">
        <f>'изм. 31'!A74</f>
        <v>65</v>
      </c>
      <c r="B72" s="98" t="str">
        <f>'изм. 31'!B69</f>
        <v>внебюджетные источники</v>
      </c>
      <c r="C72" s="106">
        <f>Лист1!I69</f>
        <v>0</v>
      </c>
      <c r="D72" s="111">
        <v>0</v>
      </c>
      <c r="E72" s="172">
        <v>0</v>
      </c>
      <c r="F72" s="108"/>
    </row>
    <row r="73" spans="1:8" ht="60.75" hidden="1" x14ac:dyDescent="0.25">
      <c r="A73" s="184">
        <f>'изм. 31'!A75</f>
        <v>66</v>
      </c>
      <c r="B73" s="107" t="str">
        <f>'изм. 31'!B70</f>
        <v xml:space="preserve">Мероприятие 1.1.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v>
      </c>
      <c r="C73" s="109">
        <f>Лист1!I70</f>
        <v>0</v>
      </c>
      <c r="D73" s="178">
        <v>0</v>
      </c>
      <c r="E73" s="173">
        <v>0</v>
      </c>
      <c r="F73" s="108"/>
    </row>
    <row r="74" spans="1:8" hidden="1" x14ac:dyDescent="0.25">
      <c r="A74" s="184">
        <f>'изм. 31'!A76</f>
        <v>67</v>
      </c>
      <c r="B74" s="98" t="str">
        <f>'изм. 31'!B71</f>
        <v>федеральный бюджет</v>
      </c>
      <c r="C74" s="109">
        <f>Лист1!I71</f>
        <v>0</v>
      </c>
      <c r="D74" s="177">
        <v>0</v>
      </c>
      <c r="E74" s="172">
        <v>0</v>
      </c>
      <c r="F74" s="108"/>
    </row>
    <row r="75" spans="1:8" hidden="1" x14ac:dyDescent="0.25">
      <c r="A75" s="184">
        <f>'изм. 31'!A77</f>
        <v>68</v>
      </c>
      <c r="B75" s="98" t="str">
        <f>'изм. 31'!B72</f>
        <v>областной бюджет</v>
      </c>
      <c r="C75" s="109">
        <f>Лист1!I72</f>
        <v>0</v>
      </c>
      <c r="D75" s="177">
        <v>0</v>
      </c>
      <c r="E75" s="172">
        <v>0</v>
      </c>
      <c r="F75" s="108"/>
    </row>
    <row r="76" spans="1:8" hidden="1" x14ac:dyDescent="0.25">
      <c r="A76" s="184">
        <f>'изм. 31'!A78</f>
        <v>69</v>
      </c>
      <c r="B76" s="98" t="str">
        <f>'изм. 31'!B73</f>
        <v>местный бюджет</v>
      </c>
      <c r="C76" s="109">
        <f>Лист1!I73</f>
        <v>0</v>
      </c>
      <c r="D76" s="177">
        <v>0</v>
      </c>
      <c r="E76" s="172">
        <v>0</v>
      </c>
      <c r="F76" s="108"/>
    </row>
    <row r="77" spans="1:8" hidden="1" x14ac:dyDescent="0.25">
      <c r="A77" s="184">
        <f>'изм. 31'!A79</f>
        <v>70</v>
      </c>
      <c r="B77" s="98" t="str">
        <f>'изм. 31'!B74</f>
        <v>внебюджетные источники</v>
      </c>
      <c r="C77" s="109">
        <f>Лист1!I74</f>
        <v>0</v>
      </c>
      <c r="D77" s="177">
        <v>0</v>
      </c>
      <c r="E77" s="172">
        <v>0</v>
      </c>
      <c r="F77" s="108"/>
    </row>
    <row r="78" spans="1:8" ht="48.75" x14ac:dyDescent="0.25">
      <c r="A78" s="184">
        <f>'изм. 31'!A80</f>
        <v>0</v>
      </c>
      <c r="B78" s="107" t="str">
        <f>'изм. 31'!B75</f>
        <v>Мероприятие 2.  Обеспечение мероприятий по укреплению и развитию материально-технической базы муниципальных учреждений культуры, всего, из них:</v>
      </c>
      <c r="C78" s="109">
        <f>C79+C80+C81+C82</f>
        <v>1062530.95</v>
      </c>
      <c r="D78" s="109">
        <f>D79+D80+D81+D82</f>
        <v>1039198.6100000001</v>
      </c>
      <c r="E78" s="173">
        <f t="shared" si="3"/>
        <v>97.813859432612304</v>
      </c>
      <c r="F78" s="108"/>
    </row>
    <row r="79" spans="1:8" x14ac:dyDescent="0.25">
      <c r="A79" s="184">
        <f>'изм. 31'!A81</f>
        <v>0</v>
      </c>
      <c r="B79" s="98" t="str">
        <f>'изм. 31'!B76</f>
        <v>федеральный бюджет</v>
      </c>
      <c r="C79" s="106">
        <f>Лист1!I76</f>
        <v>0</v>
      </c>
      <c r="D79" s="111">
        <v>0</v>
      </c>
      <c r="E79" s="172">
        <v>0</v>
      </c>
      <c r="F79" s="108"/>
    </row>
    <row r="80" spans="1:8" x14ac:dyDescent="0.25">
      <c r="A80" s="184">
        <f>'изм. 31'!A82</f>
        <v>0</v>
      </c>
      <c r="B80" s="98" t="str">
        <f>'изм. 31'!B77</f>
        <v>областной бюджет</v>
      </c>
      <c r="C80" s="106">
        <v>170000</v>
      </c>
      <c r="D80" s="111">
        <v>170000</v>
      </c>
      <c r="E80" s="172">
        <f>D80/C80*100</f>
        <v>100</v>
      </c>
      <c r="F80" s="108"/>
    </row>
    <row r="81" spans="1:6" x14ac:dyDescent="0.25">
      <c r="A81" s="184">
        <f>'изм. 31'!A83</f>
        <v>0</v>
      </c>
      <c r="B81" s="98" t="str">
        <f>'изм. 31'!B78</f>
        <v>местный бюджет</v>
      </c>
      <c r="C81" s="106">
        <v>11452.2</v>
      </c>
      <c r="D81" s="111">
        <v>11452.2</v>
      </c>
      <c r="E81" s="172">
        <f>D81/C81*100</f>
        <v>100</v>
      </c>
      <c r="F81" s="108"/>
    </row>
    <row r="82" spans="1:6" x14ac:dyDescent="0.25">
      <c r="A82" s="184">
        <f>'изм. 31'!A84</f>
        <v>0</v>
      </c>
      <c r="B82" s="98" t="str">
        <f>'изм. 31'!B79</f>
        <v>внебюджетные источники</v>
      </c>
      <c r="C82" s="106">
        <v>881078.75</v>
      </c>
      <c r="D82" s="111">
        <v>857746.41</v>
      </c>
      <c r="E82" s="172">
        <f>D82*100/C82</f>
        <v>97.351843975354072</v>
      </c>
      <c r="F82" s="108"/>
    </row>
    <row r="83" spans="1:6" ht="36.75" hidden="1" x14ac:dyDescent="0.25">
      <c r="A83" s="184">
        <f>'изм. 31'!A85</f>
        <v>0</v>
      </c>
      <c r="B83" s="98" t="str">
        <f>'изм. 31'!B80</f>
        <v>Мероприятие 2.1. Приобретение специального оборудования для хранения библиотечных фондов муниципальных библиотек, всего, из них:</v>
      </c>
      <c r="C83" s="109">
        <f>Лист1!I80</f>
        <v>0</v>
      </c>
      <c r="D83" s="177"/>
      <c r="E83" s="172" t="e">
        <f t="shared" si="3"/>
        <v>#DIV/0!</v>
      </c>
      <c r="F83" s="108"/>
    </row>
    <row r="84" spans="1:6" hidden="1" x14ac:dyDescent="0.25">
      <c r="A84" s="184">
        <f>'изм. 31'!A86</f>
        <v>0</v>
      </c>
      <c r="B84" s="98" t="str">
        <f>'изм. 31'!B81</f>
        <v>областной бюджет</v>
      </c>
      <c r="C84" s="109">
        <f>Лист1!I81</f>
        <v>0</v>
      </c>
      <c r="D84" s="177"/>
      <c r="E84" s="172" t="e">
        <f t="shared" si="3"/>
        <v>#DIV/0!</v>
      </c>
      <c r="F84" s="108"/>
    </row>
    <row r="85" spans="1:6" hidden="1" x14ac:dyDescent="0.25">
      <c r="A85" s="184">
        <f>'изм. 31'!A87</f>
        <v>0</v>
      </c>
      <c r="B85" s="98" t="str">
        <f>'изм. 31'!B82</f>
        <v>местный бюджет</v>
      </c>
      <c r="C85" s="109">
        <f>Лист1!I82</f>
        <v>0</v>
      </c>
      <c r="D85" s="177"/>
      <c r="E85" s="172" t="e">
        <f t="shared" si="3"/>
        <v>#DIV/0!</v>
      </c>
      <c r="F85" s="108"/>
    </row>
    <row r="86" spans="1:6" hidden="1" x14ac:dyDescent="0.25">
      <c r="A86" s="184">
        <f>'изм. 31'!A88</f>
        <v>71</v>
      </c>
      <c r="B86" s="98" t="str">
        <f>'изм. 31'!B83</f>
        <v>внебюджетные источники</v>
      </c>
      <c r="C86" s="109">
        <f>Лист1!I83</f>
        <v>0</v>
      </c>
      <c r="D86" s="177"/>
      <c r="E86" s="172" t="e">
        <f t="shared" si="3"/>
        <v>#DIV/0!</v>
      </c>
      <c r="F86" s="108"/>
    </row>
    <row r="87" spans="1:6" ht="48.75" hidden="1" x14ac:dyDescent="0.25">
      <c r="A87" s="184">
        <f>'изм. 31'!A89</f>
        <v>72</v>
      </c>
      <c r="B87" s="98" t="str">
        <f>'изм. 31'!B84</f>
        <v>Мероприятие 2.2. Организация деятельности учреждений  культурно-досуговой сферы,  приобретение специального оборудования всего, из них:</v>
      </c>
      <c r="C87" s="109">
        <f>Лист1!I84</f>
        <v>400</v>
      </c>
      <c r="D87" s="177"/>
      <c r="E87" s="172">
        <f t="shared" si="3"/>
        <v>0</v>
      </c>
      <c r="F87" s="108"/>
    </row>
    <row r="88" spans="1:6" hidden="1" x14ac:dyDescent="0.25">
      <c r="A88" s="184">
        <f>'изм. 31'!A90</f>
        <v>73</v>
      </c>
      <c r="B88" s="98" t="str">
        <f>'изм. 31'!B85</f>
        <v>областной бюджет</v>
      </c>
      <c r="C88" s="109">
        <f>Лист1!I85</f>
        <v>0</v>
      </c>
      <c r="D88" s="177"/>
      <c r="E88" s="172" t="e">
        <f t="shared" si="3"/>
        <v>#DIV/0!</v>
      </c>
      <c r="F88" s="108"/>
    </row>
    <row r="89" spans="1:6" hidden="1" x14ac:dyDescent="0.25">
      <c r="A89" s="184">
        <f>'изм. 31'!A91</f>
        <v>74</v>
      </c>
      <c r="B89" s="98" t="str">
        <f>'изм. 31'!B86</f>
        <v>местный бюджет</v>
      </c>
      <c r="C89" s="109">
        <f>Лист1!I86</f>
        <v>0</v>
      </c>
      <c r="D89" s="177"/>
      <c r="E89" s="172" t="e">
        <f t="shared" si="3"/>
        <v>#DIV/0!</v>
      </c>
      <c r="F89" s="108"/>
    </row>
    <row r="90" spans="1:6" hidden="1" x14ac:dyDescent="0.25">
      <c r="A90" s="184">
        <f>'изм. 31'!A92</f>
        <v>75</v>
      </c>
      <c r="B90" s="98" t="str">
        <f>'изм. 31'!B87</f>
        <v>внебюджетные источники</v>
      </c>
      <c r="C90" s="109">
        <f>Лист1!I87</f>
        <v>400</v>
      </c>
      <c r="D90" s="177"/>
      <c r="E90" s="172">
        <f t="shared" si="3"/>
        <v>0</v>
      </c>
      <c r="F90" s="108"/>
    </row>
    <row r="91" spans="1:6" ht="60.75" hidden="1" x14ac:dyDescent="0.25">
      <c r="A91" s="184">
        <f>'изм. 31'!A93</f>
        <v>76</v>
      </c>
      <c r="B91" s="107" t="str">
        <f>'изм. 31'!B88</f>
        <v xml:space="preserve">Мероприятие 2.1.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v>
      </c>
      <c r="C91" s="109">
        <f>Лист1!I88</f>
        <v>0</v>
      </c>
      <c r="D91" s="178">
        <v>0</v>
      </c>
      <c r="E91" s="173">
        <v>0</v>
      </c>
      <c r="F91" s="108"/>
    </row>
    <row r="92" spans="1:6" hidden="1" x14ac:dyDescent="0.25">
      <c r="A92" s="184">
        <f>'изм. 31'!A94</f>
        <v>77</v>
      </c>
      <c r="B92" s="98" t="str">
        <f>'изм. 31'!B89</f>
        <v>федеральный бюджет</v>
      </c>
      <c r="C92" s="109">
        <f>Лист1!I89</f>
        <v>0</v>
      </c>
      <c r="D92" s="177">
        <v>0</v>
      </c>
      <c r="E92" s="172">
        <v>0</v>
      </c>
      <c r="F92" s="108"/>
    </row>
    <row r="93" spans="1:6" hidden="1" x14ac:dyDescent="0.25">
      <c r="A93" s="184">
        <f>'изм. 31'!A95</f>
        <v>78</v>
      </c>
      <c r="B93" s="98" t="str">
        <f>'изм. 31'!B90</f>
        <v>областной бюджет</v>
      </c>
      <c r="C93" s="109">
        <f>Лист1!I90</f>
        <v>0</v>
      </c>
      <c r="D93" s="177">
        <v>0</v>
      </c>
      <c r="E93" s="172">
        <v>0</v>
      </c>
      <c r="F93" s="108"/>
    </row>
    <row r="94" spans="1:6" hidden="1" x14ac:dyDescent="0.25">
      <c r="A94" s="184">
        <f>'изм. 31'!A96</f>
        <v>79</v>
      </c>
      <c r="B94" s="98" t="str">
        <f>'изм. 31'!B91</f>
        <v>местный бюджет</v>
      </c>
      <c r="C94" s="109">
        <f>Лист1!I91</f>
        <v>0</v>
      </c>
      <c r="D94" s="177">
        <v>0</v>
      </c>
      <c r="E94" s="172">
        <v>0</v>
      </c>
      <c r="F94" s="108"/>
    </row>
    <row r="95" spans="1:6" hidden="1" x14ac:dyDescent="0.25">
      <c r="A95" s="184">
        <f>'изм. 31'!A97</f>
        <v>80</v>
      </c>
      <c r="B95" s="98" t="str">
        <f>'изм. 31'!B92</f>
        <v>внебюджетные источники</v>
      </c>
      <c r="C95" s="109">
        <f>Лист1!I92</f>
        <v>0</v>
      </c>
      <c r="D95" s="177">
        <v>0</v>
      </c>
      <c r="E95" s="172">
        <v>0</v>
      </c>
      <c r="F95" s="108"/>
    </row>
    <row r="96" spans="1:6" ht="72.75" x14ac:dyDescent="0.25">
      <c r="A96" s="184">
        <f>'изм. 31'!A98</f>
        <v>81</v>
      </c>
      <c r="B96" s="107" t="str">
        <f>'изм. 31'!B93</f>
        <v>Мероприятие 3. Обеспечение мероприятий по реализации мер противодействия распространению наркомании, алкоголизма и токсикомании, профилактики правонарушений на территории Кушвинского городского округа, всего, из них:</v>
      </c>
      <c r="C96" s="109">
        <v>0</v>
      </c>
      <c r="D96" s="110">
        <f>SUM(D97:D100)</f>
        <v>0</v>
      </c>
      <c r="E96" s="173">
        <v>0</v>
      </c>
      <c r="F96" s="108"/>
    </row>
    <row r="97" spans="1:6" x14ac:dyDescent="0.25">
      <c r="A97" s="184">
        <f>'изм. 31'!A99</f>
        <v>82</v>
      </c>
      <c r="B97" s="98" t="str">
        <f>'изм. 31'!B94</f>
        <v>федеральный бюджет</v>
      </c>
      <c r="C97" s="106">
        <f>Лист1!I94</f>
        <v>0</v>
      </c>
      <c r="D97" s="111">
        <v>0</v>
      </c>
      <c r="E97" s="172">
        <v>0</v>
      </c>
      <c r="F97" s="108"/>
    </row>
    <row r="98" spans="1:6" x14ac:dyDescent="0.25">
      <c r="A98" s="184">
        <f>'изм. 31'!A100</f>
        <v>83</v>
      </c>
      <c r="B98" s="98" t="str">
        <f>'изм. 31'!B95</f>
        <v>областной бюджет</v>
      </c>
      <c r="C98" s="106">
        <f>Лист1!I95</f>
        <v>0</v>
      </c>
      <c r="D98" s="111">
        <v>0</v>
      </c>
      <c r="E98" s="172">
        <v>0</v>
      </c>
      <c r="F98" s="108"/>
    </row>
    <row r="99" spans="1:6" x14ac:dyDescent="0.25">
      <c r="A99" s="184">
        <f>'изм. 31'!A101</f>
        <v>84</v>
      </c>
      <c r="B99" s="98" t="str">
        <f>'изм. 31'!B96</f>
        <v>местный бюджет</v>
      </c>
      <c r="C99" s="106">
        <v>0</v>
      </c>
      <c r="D99" s="111">
        <v>0</v>
      </c>
      <c r="E99" s="172">
        <v>0</v>
      </c>
      <c r="F99" s="108"/>
    </row>
    <row r="100" spans="1:6" x14ac:dyDescent="0.25">
      <c r="A100" s="184">
        <f>'изм. 31'!A102</f>
        <v>85</v>
      </c>
      <c r="B100" s="98" t="str">
        <f>'изм. 31'!B97</f>
        <v>внебюджетные источники</v>
      </c>
      <c r="C100" s="106">
        <f>Лист1!I97</f>
        <v>0</v>
      </c>
      <c r="D100" s="111">
        <v>0</v>
      </c>
      <c r="E100" s="172">
        <v>0</v>
      </c>
      <c r="F100" s="108"/>
    </row>
    <row r="101" spans="1:6" ht="48.75" x14ac:dyDescent="0.25">
      <c r="A101" s="184">
        <f>'изм. 31'!A103</f>
        <v>86</v>
      </c>
      <c r="B101" s="107" t="str">
        <f>'изм. 31'!B98</f>
        <v>Мероприятие 4. Реализация мероприятий в сфере культуры, направленных на патриотическое воспитание граждан Кушвинского городского округа, всего, из них:</v>
      </c>
      <c r="C101" s="109">
        <f>C102+C103+C104+C105</f>
        <v>133000</v>
      </c>
      <c r="D101" s="109">
        <f>D102+D103+D104+D105</f>
        <v>133000</v>
      </c>
      <c r="E101" s="173">
        <f t="shared" ref="E101:E154" si="5">D101/C101*100+IF(D101/C101=0,0,D101/C101/100)</f>
        <v>100.01</v>
      </c>
      <c r="F101" s="108"/>
    </row>
    <row r="102" spans="1:6" x14ac:dyDescent="0.25">
      <c r="A102" s="184">
        <f>'изм. 31'!A104</f>
        <v>87</v>
      </c>
      <c r="B102" s="98" t="str">
        <f>'изм. 31'!B99</f>
        <v>федеральный бюджет</v>
      </c>
      <c r="C102" s="106">
        <f>Лист1!I99</f>
        <v>0</v>
      </c>
      <c r="D102" s="111">
        <v>0</v>
      </c>
      <c r="E102" s="172">
        <v>0</v>
      </c>
      <c r="F102" s="108"/>
    </row>
    <row r="103" spans="1:6" x14ac:dyDescent="0.25">
      <c r="A103" s="184">
        <f>'изм. 31'!A105</f>
        <v>88</v>
      </c>
      <c r="B103" s="98" t="str">
        <f>'изм. 31'!B100</f>
        <v>областной бюджет</v>
      </c>
      <c r="C103" s="106">
        <f>Лист1!I100</f>
        <v>0</v>
      </c>
      <c r="D103" s="111">
        <v>0</v>
      </c>
      <c r="E103" s="172">
        <v>0</v>
      </c>
      <c r="F103" s="108"/>
    </row>
    <row r="104" spans="1:6" x14ac:dyDescent="0.25">
      <c r="A104" s="184">
        <f>'изм. 31'!A106</f>
        <v>89</v>
      </c>
      <c r="B104" s="98" t="str">
        <f>'изм. 31'!B101</f>
        <v>местный бюджет</v>
      </c>
      <c r="C104" s="106">
        <v>133000</v>
      </c>
      <c r="D104" s="111">
        <v>133000</v>
      </c>
      <c r="E104" s="172">
        <f t="shared" si="5"/>
        <v>100.01</v>
      </c>
      <c r="F104" s="108"/>
    </row>
    <row r="105" spans="1:6" x14ac:dyDescent="0.25">
      <c r="A105" s="184">
        <f>'изм. 31'!A107</f>
        <v>90</v>
      </c>
      <c r="B105" s="98" t="str">
        <f>'изм. 31'!B102</f>
        <v>внебюджетные источники</v>
      </c>
      <c r="C105" s="106">
        <f>Лист1!I102</f>
        <v>0</v>
      </c>
      <c r="D105" s="111">
        <v>0</v>
      </c>
      <c r="E105" s="172">
        <v>0</v>
      </c>
      <c r="F105" s="108"/>
    </row>
    <row r="106" spans="1:6" ht="60.75" hidden="1" x14ac:dyDescent="0.25">
      <c r="A106" s="184">
        <f>'изм. 31'!A108</f>
        <v>91</v>
      </c>
      <c r="B106" s="107" t="str">
        <f>'изм. 31'!B103</f>
        <v xml:space="preserve">Мероприятие 4.1.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v>
      </c>
      <c r="C106" s="109">
        <f>Лист1!I103</f>
        <v>0</v>
      </c>
      <c r="D106" s="178">
        <v>0</v>
      </c>
      <c r="E106" s="173">
        <v>0</v>
      </c>
      <c r="F106" s="108"/>
    </row>
    <row r="107" spans="1:6" hidden="1" x14ac:dyDescent="0.25">
      <c r="A107" s="184">
        <f>'изм. 31'!A109</f>
        <v>92</v>
      </c>
      <c r="B107" s="98" t="str">
        <f>'изм. 31'!B104</f>
        <v>федеральный бюджет</v>
      </c>
      <c r="C107" s="109">
        <f>Лист1!I104</f>
        <v>0</v>
      </c>
      <c r="D107" s="177">
        <v>0</v>
      </c>
      <c r="E107" s="172">
        <v>0</v>
      </c>
      <c r="F107" s="108"/>
    </row>
    <row r="108" spans="1:6" hidden="1" x14ac:dyDescent="0.25">
      <c r="A108" s="184">
        <f>'изм. 31'!A110</f>
        <v>93</v>
      </c>
      <c r="B108" s="98" t="str">
        <f>'изм. 31'!B105</f>
        <v>областной бюджет</v>
      </c>
      <c r="C108" s="109">
        <f>Лист1!I105</f>
        <v>0</v>
      </c>
      <c r="D108" s="177">
        <v>0</v>
      </c>
      <c r="E108" s="172">
        <v>0</v>
      </c>
      <c r="F108" s="108"/>
    </row>
    <row r="109" spans="1:6" hidden="1" x14ac:dyDescent="0.25">
      <c r="A109" s="184">
        <f>'изм. 31'!A111</f>
        <v>94</v>
      </c>
      <c r="B109" s="98" t="str">
        <f>'изм. 31'!B106</f>
        <v>местный бюджет</v>
      </c>
      <c r="C109" s="109">
        <f>Лист1!I106</f>
        <v>0</v>
      </c>
      <c r="D109" s="177">
        <v>0</v>
      </c>
      <c r="E109" s="172">
        <v>0</v>
      </c>
      <c r="F109" s="108"/>
    </row>
    <row r="110" spans="1:6" hidden="1" x14ac:dyDescent="0.25">
      <c r="A110" s="184">
        <f>'изм. 31'!A112</f>
        <v>95</v>
      </c>
      <c r="B110" s="98" t="str">
        <f>'изм. 31'!B107</f>
        <v>внебюджетные источники</v>
      </c>
      <c r="C110" s="109">
        <f>Лист1!I107</f>
        <v>0</v>
      </c>
      <c r="D110" s="177">
        <v>0</v>
      </c>
      <c r="E110" s="172">
        <v>0</v>
      </c>
      <c r="F110" s="108"/>
    </row>
    <row r="111" spans="1:6" ht="72.75" x14ac:dyDescent="0.25">
      <c r="A111" s="184">
        <f>'изм. 31'!A113</f>
        <v>0</v>
      </c>
      <c r="B111" s="107" t="str">
        <f>'изм. 31'!B108</f>
        <v xml:space="preserve">Мероприятие 5. Проведение ремонтных работ в зданиях и помещениях, в которых размещаются муниципальные учреждения культуры, приведение в соответствие с требованиями норм пожарной безопасности и санитарного законодательства, всего, из них: </v>
      </c>
      <c r="C111" s="109">
        <f>C112+C113+C114+C115</f>
        <v>2355213.59</v>
      </c>
      <c r="D111" s="110">
        <f>SUM(D112:D115)</f>
        <v>2145905.6100000003</v>
      </c>
      <c r="E111" s="173">
        <f t="shared" si="5"/>
        <v>91.122105004540188</v>
      </c>
      <c r="F111" s="108"/>
    </row>
    <row r="112" spans="1:6" x14ac:dyDescent="0.25">
      <c r="A112" s="184">
        <f>'изм. 31'!A114</f>
        <v>0</v>
      </c>
      <c r="B112" s="98" t="str">
        <f>'изм. 31'!B109</f>
        <v>федеральный бюджет</v>
      </c>
      <c r="C112" s="106">
        <f>Лист1!I109</f>
        <v>0</v>
      </c>
      <c r="D112" s="111">
        <v>0</v>
      </c>
      <c r="E112" s="172">
        <v>0</v>
      </c>
      <c r="F112" s="108"/>
    </row>
    <row r="113" spans="1:6" x14ac:dyDescent="0.25">
      <c r="A113" s="184">
        <f>'изм. 31'!A115</f>
        <v>0</v>
      </c>
      <c r="B113" s="98" t="str">
        <f>'изм. 31'!B110</f>
        <v>областной бюджет</v>
      </c>
      <c r="C113" s="106">
        <f>Лист1!I110</f>
        <v>0</v>
      </c>
      <c r="D113" s="111">
        <v>0</v>
      </c>
      <c r="E113" s="172">
        <v>0</v>
      </c>
      <c r="F113" s="108"/>
    </row>
    <row r="114" spans="1:6" x14ac:dyDescent="0.25">
      <c r="A114" s="184">
        <f>'изм. 31'!A116</f>
        <v>0</v>
      </c>
      <c r="B114" s="98" t="str">
        <f>'изм. 31'!B111</f>
        <v>местный бюджет</v>
      </c>
      <c r="C114" s="106">
        <v>1328877.3</v>
      </c>
      <c r="D114" s="111">
        <v>1328877.3</v>
      </c>
      <c r="E114" s="172">
        <f t="shared" si="5"/>
        <v>100.01</v>
      </c>
      <c r="F114" s="108"/>
    </row>
    <row r="115" spans="1:6" x14ac:dyDescent="0.25">
      <c r="A115" s="184">
        <f>'изм. 31'!A117</f>
        <v>0</v>
      </c>
      <c r="B115" s="98" t="str">
        <f>'изм. 31'!B112</f>
        <v>внебюджетные источники</v>
      </c>
      <c r="C115" s="106">
        <v>1026336.29</v>
      </c>
      <c r="D115" s="111">
        <v>817028.31</v>
      </c>
      <c r="E115" s="172">
        <f>D115*100/C115</f>
        <v>79.606296489818163</v>
      </c>
      <c r="F115" s="108"/>
    </row>
    <row r="116" spans="1:6" ht="60.75" hidden="1" x14ac:dyDescent="0.25">
      <c r="A116" s="184">
        <f>'изм. 31'!A118</f>
        <v>0</v>
      </c>
      <c r="B116" s="98" t="str">
        <f>'изм. 31'!B113</f>
        <v>Мероприятие 5.1.Субсидии на капитальный ремонт помещения муниципального автономного учреждения культуры Кушвинского городского округа «Кушвинский дворец культуры, расположенного по адресу: г.Кушва, пл. Культуры, 1</v>
      </c>
      <c r="C116" s="109">
        <f>Лист1!I113</f>
        <v>0</v>
      </c>
      <c r="D116" s="177"/>
      <c r="E116" s="172" t="e">
        <f t="shared" si="5"/>
        <v>#DIV/0!</v>
      </c>
      <c r="F116" s="108"/>
    </row>
    <row r="117" spans="1:6" hidden="1" x14ac:dyDescent="0.25">
      <c r="A117" s="184">
        <f>'изм. 31'!A119</f>
        <v>0</v>
      </c>
      <c r="B117" s="98" t="str">
        <f>'изм. 31'!B114</f>
        <v>областной бюджет</v>
      </c>
      <c r="C117" s="109">
        <f>Лист1!I114</f>
        <v>0</v>
      </c>
      <c r="D117" s="177"/>
      <c r="E117" s="172" t="e">
        <f t="shared" si="5"/>
        <v>#DIV/0!</v>
      </c>
      <c r="F117" s="108"/>
    </row>
    <row r="118" spans="1:6" hidden="1" x14ac:dyDescent="0.25">
      <c r="A118" s="184">
        <f>'изм. 31'!A120</f>
        <v>0</v>
      </c>
      <c r="B118" s="98" t="str">
        <f>'изм. 31'!B115</f>
        <v>местный бюджет</v>
      </c>
      <c r="C118" s="109">
        <f>Лист1!I115</f>
        <v>0</v>
      </c>
      <c r="D118" s="177"/>
      <c r="E118" s="172" t="e">
        <f t="shared" si="5"/>
        <v>#DIV/0!</v>
      </c>
      <c r="F118" s="108"/>
    </row>
    <row r="119" spans="1:6" hidden="1" x14ac:dyDescent="0.25">
      <c r="A119" s="184">
        <f>'изм. 31'!A121</f>
        <v>0</v>
      </c>
      <c r="B119" s="98" t="str">
        <f>'изм. 31'!B116</f>
        <v>внебюджетные источники</v>
      </c>
      <c r="C119" s="109">
        <f>Лист1!I116</f>
        <v>0</v>
      </c>
      <c r="D119" s="177"/>
      <c r="E119" s="172" t="e">
        <f t="shared" si="5"/>
        <v>#DIV/0!</v>
      </c>
      <c r="F119" s="108"/>
    </row>
    <row r="120" spans="1:6" ht="72.75" hidden="1" x14ac:dyDescent="0.25">
      <c r="A120" s="184">
        <f>'изм. 31'!A122</f>
        <v>0</v>
      </c>
      <c r="B120" s="98" t="str">
        <f>'изм. 31'!B117</f>
        <v>Мероприятие 5.2. Субсидии на капитальный ремонт помещения муниципального автономного учреждения культуры Кушвинского городского округа «Кушвинский дворец культуры (Клуб дер. В.Баранча, клуб дер. Мостовая, расположенных по адресу: г.Кушва, дер. В.Баранча, дер. Мостовая)</v>
      </c>
      <c r="C120" s="109">
        <f>Лист1!I117</f>
        <v>0</v>
      </c>
      <c r="D120" s="177"/>
      <c r="E120" s="172" t="e">
        <f t="shared" si="5"/>
        <v>#DIV/0!</v>
      </c>
      <c r="F120" s="108"/>
    </row>
    <row r="121" spans="1:6" hidden="1" x14ac:dyDescent="0.25">
      <c r="A121" s="184">
        <f>'изм. 31'!A123</f>
        <v>0</v>
      </c>
      <c r="B121" s="98" t="str">
        <f>'изм. 31'!B118</f>
        <v>областной бюджет</v>
      </c>
      <c r="C121" s="109">
        <f>Лист1!I118</f>
        <v>0</v>
      </c>
      <c r="D121" s="177"/>
      <c r="E121" s="172" t="e">
        <f t="shared" si="5"/>
        <v>#DIV/0!</v>
      </c>
      <c r="F121" s="108"/>
    </row>
    <row r="122" spans="1:6" hidden="1" x14ac:dyDescent="0.25">
      <c r="A122" s="184">
        <f>'изм. 31'!A124</f>
        <v>0</v>
      </c>
      <c r="B122" s="98" t="str">
        <f>'изм. 31'!B119</f>
        <v>местный бюджет</v>
      </c>
      <c r="C122" s="109">
        <f>Лист1!I119</f>
        <v>0</v>
      </c>
      <c r="D122" s="177"/>
      <c r="E122" s="172" t="e">
        <f t="shared" si="5"/>
        <v>#DIV/0!</v>
      </c>
      <c r="F122" s="108"/>
    </row>
    <row r="123" spans="1:6" hidden="1" x14ac:dyDescent="0.25">
      <c r="A123" s="184">
        <f>'изм. 31'!A125</f>
        <v>0</v>
      </c>
      <c r="B123" s="98" t="str">
        <f>'изм. 31'!B120</f>
        <v>внебюджетные источники</v>
      </c>
      <c r="C123" s="109">
        <f>Лист1!I120</f>
        <v>0</v>
      </c>
      <c r="D123" s="177"/>
      <c r="E123" s="172" t="e">
        <f t="shared" si="5"/>
        <v>#DIV/0!</v>
      </c>
      <c r="F123" s="108"/>
    </row>
    <row r="124" spans="1:6" ht="72.75" hidden="1" x14ac:dyDescent="0.25">
      <c r="A124" s="184">
        <f>'изм. 31'!A126</f>
        <v>0</v>
      </c>
      <c r="B124" s="98" t="str">
        <f>'изм. 31'!B121</f>
        <v>Мероприятие 5.3.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(Центральная городская библиотека) расположенного по адресу: г. Кушва, ул. Фадеевых, 20</v>
      </c>
      <c r="C124" s="109">
        <f>Лист1!I121</f>
        <v>0</v>
      </c>
      <c r="D124" s="177"/>
      <c r="E124" s="172" t="e">
        <f t="shared" si="5"/>
        <v>#DIV/0!</v>
      </c>
      <c r="F124" s="108"/>
    </row>
    <row r="125" spans="1:6" hidden="1" x14ac:dyDescent="0.25">
      <c r="A125" s="184">
        <f>'изм. 31'!A127</f>
        <v>0</v>
      </c>
      <c r="B125" s="98" t="str">
        <f>'изм. 31'!B122</f>
        <v>областной бюджет</v>
      </c>
      <c r="C125" s="109">
        <f>Лист1!I122</f>
        <v>0</v>
      </c>
      <c r="D125" s="177"/>
      <c r="E125" s="172" t="e">
        <f t="shared" si="5"/>
        <v>#DIV/0!</v>
      </c>
      <c r="F125" s="108"/>
    </row>
    <row r="126" spans="1:6" hidden="1" x14ac:dyDescent="0.25">
      <c r="A126" s="184">
        <f>'изм. 31'!A128</f>
        <v>0</v>
      </c>
      <c r="B126" s="98" t="str">
        <f>'изм. 31'!B123</f>
        <v>местный бюджет</v>
      </c>
      <c r="C126" s="109">
        <f>Лист1!I123</f>
        <v>0</v>
      </c>
      <c r="D126" s="177"/>
      <c r="E126" s="172" t="e">
        <f t="shared" si="5"/>
        <v>#DIV/0!</v>
      </c>
      <c r="F126" s="108"/>
    </row>
    <row r="127" spans="1:6" hidden="1" x14ac:dyDescent="0.25">
      <c r="A127" s="184">
        <f>'изм. 31'!A129</f>
        <v>0</v>
      </c>
      <c r="B127" s="98" t="str">
        <f>'изм. 31'!B124</f>
        <v>внебюджетные источники</v>
      </c>
      <c r="C127" s="109">
        <f>Лист1!I124</f>
        <v>0</v>
      </c>
      <c r="D127" s="177"/>
      <c r="E127" s="172" t="e">
        <f t="shared" si="5"/>
        <v>#DIV/0!</v>
      </c>
      <c r="F127" s="108"/>
    </row>
    <row r="128" spans="1:6" ht="72.75" hidden="1" x14ac:dyDescent="0.25">
      <c r="A128" s="184">
        <f>'изм. 31'!A130</f>
        <v>0</v>
      </c>
      <c r="B128" s="98" t="str">
        <f>'изм. 31'!B125</f>
        <v>Мероприятие 5.4.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(Баранчинская поселковая библиотека), расположенного по адресу: пос. Баранчинский, ул. Коммуны, 43</v>
      </c>
      <c r="C128" s="109">
        <f>Лист1!I125</f>
        <v>0</v>
      </c>
      <c r="D128" s="177"/>
      <c r="E128" s="172" t="e">
        <f t="shared" si="5"/>
        <v>#DIV/0!</v>
      </c>
      <c r="F128" s="108"/>
    </row>
    <row r="129" spans="1:6" hidden="1" x14ac:dyDescent="0.25">
      <c r="A129" s="184">
        <f>'изм. 31'!A131</f>
        <v>0</v>
      </c>
      <c r="B129" s="98" t="str">
        <f>'изм. 31'!B126</f>
        <v>областной бюджет</v>
      </c>
      <c r="C129" s="109">
        <f>Лист1!I126</f>
        <v>0</v>
      </c>
      <c r="D129" s="177"/>
      <c r="E129" s="172" t="e">
        <f t="shared" si="5"/>
        <v>#DIV/0!</v>
      </c>
      <c r="F129" s="108"/>
    </row>
    <row r="130" spans="1:6" hidden="1" x14ac:dyDescent="0.25">
      <c r="A130" s="184">
        <f>'изм. 31'!A132</f>
        <v>0</v>
      </c>
      <c r="B130" s="98" t="str">
        <f>'изм. 31'!B127</f>
        <v>местный бюджет</v>
      </c>
      <c r="C130" s="109">
        <f>Лист1!I127</f>
        <v>0</v>
      </c>
      <c r="D130" s="177"/>
      <c r="E130" s="172" t="e">
        <f t="shared" si="5"/>
        <v>#DIV/0!</v>
      </c>
      <c r="F130" s="108"/>
    </row>
    <row r="131" spans="1:6" hidden="1" x14ac:dyDescent="0.25">
      <c r="A131" s="184">
        <f>'изм. 31'!A133</f>
        <v>0</v>
      </c>
      <c r="B131" s="98" t="str">
        <f>'изм. 31'!B128</f>
        <v>внебюджетные источники</v>
      </c>
      <c r="C131" s="109">
        <f>Лист1!I128</f>
        <v>0</v>
      </c>
      <c r="D131" s="177"/>
      <c r="E131" s="172" t="e">
        <f t="shared" si="5"/>
        <v>#DIV/0!</v>
      </c>
      <c r="F131" s="108"/>
    </row>
    <row r="132" spans="1:6" ht="84.75" hidden="1" x14ac:dyDescent="0.25">
      <c r="A132" s="184">
        <f>'изм. 31'!A134</f>
        <v>0</v>
      </c>
      <c r="B132" s="98" t="str">
        <f>'изм. 31'!B129</f>
        <v>Мероприятие 5.5. Субсидии на капитальный ремонт помещения муниципального бюджетного учреждения культуры  «Библиотечно-информационный центр Кушвинского городского округа»  (Городская детская библиотека, библиотека №1), расположенных по адресу: г. Кушва, ул. Луначарского, 10,  ул. Линейная, 19</v>
      </c>
      <c r="C132" s="109">
        <f>Лист1!I129</f>
        <v>0</v>
      </c>
      <c r="D132" s="177"/>
      <c r="E132" s="172" t="e">
        <f t="shared" si="5"/>
        <v>#DIV/0!</v>
      </c>
      <c r="F132" s="108"/>
    </row>
    <row r="133" spans="1:6" hidden="1" x14ac:dyDescent="0.25">
      <c r="A133" s="184">
        <f>'изм. 31'!A135</f>
        <v>0</v>
      </c>
      <c r="B133" s="98" t="str">
        <f>'изм. 31'!B130</f>
        <v>областной бюджет</v>
      </c>
      <c r="C133" s="109">
        <f>Лист1!I130</f>
        <v>0</v>
      </c>
      <c r="D133" s="177"/>
      <c r="E133" s="172" t="e">
        <f t="shared" si="5"/>
        <v>#DIV/0!</v>
      </c>
      <c r="F133" s="108"/>
    </row>
    <row r="134" spans="1:6" hidden="1" x14ac:dyDescent="0.25">
      <c r="A134" s="184">
        <f>'изм. 31'!A136</f>
        <v>0</v>
      </c>
      <c r="B134" s="98" t="str">
        <f>'изм. 31'!B131</f>
        <v>местный бюджет</v>
      </c>
      <c r="C134" s="109">
        <f>Лист1!I131</f>
        <v>0</v>
      </c>
      <c r="D134" s="177"/>
      <c r="E134" s="172" t="e">
        <f t="shared" si="5"/>
        <v>#DIV/0!</v>
      </c>
      <c r="F134" s="108"/>
    </row>
    <row r="135" spans="1:6" hidden="1" x14ac:dyDescent="0.25">
      <c r="A135" s="184">
        <f>'изм. 31'!A137</f>
        <v>0</v>
      </c>
      <c r="B135" s="98" t="str">
        <f>'изм. 31'!B132</f>
        <v>внебюджетные источники</v>
      </c>
      <c r="C135" s="109">
        <f>Лист1!I132</f>
        <v>0</v>
      </c>
      <c r="D135" s="177"/>
      <c r="E135" s="172" t="e">
        <f t="shared" si="5"/>
        <v>#DIV/0!</v>
      </c>
      <c r="F135" s="108"/>
    </row>
    <row r="136" spans="1:6" ht="60.75" hidden="1" x14ac:dyDescent="0.25">
      <c r="A136" s="184">
        <f>'изм. 31'!A138</f>
        <v>0</v>
      </c>
      <c r="B136" s="98" t="str">
        <f>'изм. 31'!B133</f>
        <v>Мероприятие 5.6. Субсидии на проектные работы муниципального автономного учреждения культуры Кушвинского городского округа «Центр культуры и досуга пос. Баранчинский», расположенного по адресу: пос. Баранчинский, ул. Ленина, 1</v>
      </c>
      <c r="C136" s="109">
        <f>Лист1!I133</f>
        <v>0</v>
      </c>
      <c r="D136" s="177"/>
      <c r="E136" s="172" t="e">
        <f t="shared" si="5"/>
        <v>#DIV/0!</v>
      </c>
      <c r="F136" s="108"/>
    </row>
    <row r="137" spans="1:6" hidden="1" x14ac:dyDescent="0.25">
      <c r="A137" s="184">
        <f>'изм. 31'!A139</f>
        <v>0</v>
      </c>
      <c r="B137" s="98" t="str">
        <f>'изм. 31'!B134</f>
        <v>областной бюджет</v>
      </c>
      <c r="C137" s="109">
        <f>Лист1!I134</f>
        <v>0</v>
      </c>
      <c r="D137" s="177"/>
      <c r="E137" s="172" t="e">
        <f t="shared" si="5"/>
        <v>#DIV/0!</v>
      </c>
      <c r="F137" s="108"/>
    </row>
    <row r="138" spans="1:6" hidden="1" x14ac:dyDescent="0.25">
      <c r="A138" s="184">
        <f>'изм. 31'!A140</f>
        <v>0</v>
      </c>
      <c r="B138" s="98" t="str">
        <f>'изм. 31'!B135</f>
        <v>местный бюджет</v>
      </c>
      <c r="C138" s="109">
        <f>Лист1!I135</f>
        <v>0</v>
      </c>
      <c r="D138" s="177"/>
      <c r="E138" s="172" t="e">
        <f t="shared" si="5"/>
        <v>#DIV/0!</v>
      </c>
      <c r="F138" s="108"/>
    </row>
    <row r="139" spans="1:6" hidden="1" x14ac:dyDescent="0.25">
      <c r="A139" s="184">
        <f>'изм. 31'!A141</f>
        <v>0</v>
      </c>
      <c r="B139" s="98" t="str">
        <f>'изм. 31'!B136</f>
        <v>внебюджетные источники</v>
      </c>
      <c r="C139" s="109">
        <f>Лист1!I136</f>
        <v>0</v>
      </c>
      <c r="D139" s="177"/>
      <c r="E139" s="172" t="e">
        <f t="shared" si="5"/>
        <v>#DIV/0!</v>
      </c>
      <c r="F139" s="108"/>
    </row>
    <row r="140" spans="1:6" ht="60.75" hidden="1" x14ac:dyDescent="0.25">
      <c r="A140" s="184">
        <f>'изм. 31'!A142</f>
        <v>0</v>
      </c>
      <c r="B140" s="98" t="str">
        <f>'изм. 31'!B137</f>
        <v>Мероприятие 5.7. Субсидии на капитальный ремонт помещения муниципального автономного учреждения культуры Кушвинского городского округа Кинотеатр «Феникс», расположенного по адресу: г. Кушва, ул. Союзов, 1а</v>
      </c>
      <c r="C140" s="109">
        <f>Лист1!I137</f>
        <v>0</v>
      </c>
      <c r="D140" s="177"/>
      <c r="E140" s="172" t="e">
        <f t="shared" si="5"/>
        <v>#DIV/0!</v>
      </c>
      <c r="F140" s="108"/>
    </row>
    <row r="141" spans="1:6" hidden="1" x14ac:dyDescent="0.25">
      <c r="A141" s="184">
        <f>'изм. 31'!A143</f>
        <v>0</v>
      </c>
      <c r="B141" s="98" t="str">
        <f>'изм. 31'!B138</f>
        <v>областной бюджет</v>
      </c>
      <c r="C141" s="109">
        <f>Лист1!I138</f>
        <v>0</v>
      </c>
      <c r="D141" s="177"/>
      <c r="E141" s="172" t="e">
        <f t="shared" si="5"/>
        <v>#DIV/0!</v>
      </c>
      <c r="F141" s="108"/>
    </row>
    <row r="142" spans="1:6" hidden="1" x14ac:dyDescent="0.25">
      <c r="A142" s="184">
        <f>'изм. 31'!A144</f>
        <v>0</v>
      </c>
      <c r="B142" s="98" t="str">
        <f>'изм. 31'!B139</f>
        <v>местный бюджет</v>
      </c>
      <c r="C142" s="109">
        <f>Лист1!I139</f>
        <v>0</v>
      </c>
      <c r="D142" s="177"/>
      <c r="E142" s="172" t="e">
        <f t="shared" si="5"/>
        <v>#DIV/0!</v>
      </c>
      <c r="F142" s="108"/>
    </row>
    <row r="143" spans="1:6" hidden="1" x14ac:dyDescent="0.25">
      <c r="A143" s="184">
        <f>'изм. 31'!A145</f>
        <v>0</v>
      </c>
      <c r="B143" s="98" t="str">
        <f>'изм. 31'!B140</f>
        <v>внебюджетные источники</v>
      </c>
      <c r="C143" s="109">
        <f>Лист1!I140</f>
        <v>0</v>
      </c>
      <c r="D143" s="177"/>
      <c r="E143" s="172" t="e">
        <f t="shared" si="5"/>
        <v>#DIV/0!</v>
      </c>
      <c r="F143" s="108"/>
    </row>
    <row r="144" spans="1:6" ht="72.75" hidden="1" x14ac:dyDescent="0.25">
      <c r="A144" s="184">
        <f>'изм. 31'!A146</f>
        <v>96</v>
      </c>
      <c r="B144" s="98" t="str">
        <f>'изм. 31'!B141</f>
        <v>Мероприятие 5.8.  Проведение ремонтных работ в здании Кушвинского краеведческого музея, приведение в соответствие с требованиями норм пожарной безопасности и санитарного законодательства и (или) оснащение  специальным оборудованием,  инвентарем , всего, из них:</v>
      </c>
      <c r="C144" s="109">
        <f>Лист1!I141</f>
        <v>0</v>
      </c>
      <c r="D144" s="177"/>
      <c r="E144" s="172" t="e">
        <f t="shared" si="5"/>
        <v>#DIV/0!</v>
      </c>
      <c r="F144" s="108"/>
    </row>
    <row r="145" spans="1:6" hidden="1" x14ac:dyDescent="0.25">
      <c r="A145" s="184">
        <f>'изм. 31'!A147</f>
        <v>97</v>
      </c>
      <c r="B145" s="98" t="str">
        <f>'изм. 31'!B142</f>
        <v>федеральный бюджет</v>
      </c>
      <c r="C145" s="109">
        <f>Лист1!I142</f>
        <v>0</v>
      </c>
      <c r="D145" s="177"/>
      <c r="E145" s="172" t="e">
        <f t="shared" si="5"/>
        <v>#DIV/0!</v>
      </c>
      <c r="F145" s="108"/>
    </row>
    <row r="146" spans="1:6" hidden="1" x14ac:dyDescent="0.25">
      <c r="A146" s="184">
        <f>'изм. 31'!A148</f>
        <v>98</v>
      </c>
      <c r="B146" s="98" t="str">
        <f>'изм. 31'!B143</f>
        <v>областной бюджет</v>
      </c>
      <c r="C146" s="109">
        <f>Лист1!I143</f>
        <v>0</v>
      </c>
      <c r="D146" s="177"/>
      <c r="E146" s="172" t="e">
        <f t="shared" si="5"/>
        <v>#DIV/0!</v>
      </c>
      <c r="F146" s="108"/>
    </row>
    <row r="147" spans="1:6" hidden="1" x14ac:dyDescent="0.25">
      <c r="A147" s="184">
        <f>'изм. 31'!A149</f>
        <v>99</v>
      </c>
      <c r="B147" s="98" t="str">
        <f>'изм. 31'!B144</f>
        <v>местный бюджет</v>
      </c>
      <c r="C147" s="109">
        <f>Лист1!I144</f>
        <v>0</v>
      </c>
      <c r="D147" s="177"/>
      <c r="E147" s="172" t="e">
        <f t="shared" si="5"/>
        <v>#DIV/0!</v>
      </c>
      <c r="F147" s="108"/>
    </row>
    <row r="148" spans="1:6" hidden="1" x14ac:dyDescent="0.25">
      <c r="A148" s="184">
        <f>'изм. 31'!A150</f>
        <v>100</v>
      </c>
      <c r="B148" s="98" t="str">
        <f>'изм. 31'!B145</f>
        <v>внебюджетные источники</v>
      </c>
      <c r="C148" s="109">
        <f>Лист1!I145</f>
        <v>0</v>
      </c>
      <c r="D148" s="177"/>
      <c r="E148" s="172" t="e">
        <f t="shared" si="5"/>
        <v>#DIV/0!</v>
      </c>
      <c r="F148" s="108"/>
    </row>
    <row r="149" spans="1:6" ht="60.75" hidden="1" x14ac:dyDescent="0.25">
      <c r="A149" s="184">
        <f>'изм. 31'!A151</f>
        <v>101</v>
      </c>
      <c r="B149" s="107" t="str">
        <f>'изм. 31'!B146</f>
        <v>Мероприятие 5.1.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v>
      </c>
      <c r="C149" s="109">
        <f>Лист1!I146</f>
        <v>0</v>
      </c>
      <c r="D149" s="178">
        <v>0</v>
      </c>
      <c r="E149" s="173">
        <v>0</v>
      </c>
      <c r="F149" s="108"/>
    </row>
    <row r="150" spans="1:6" hidden="1" x14ac:dyDescent="0.25">
      <c r="A150" s="184">
        <f>'изм. 31'!A152</f>
        <v>102</v>
      </c>
      <c r="B150" s="98" t="str">
        <f>'изм. 31'!B147</f>
        <v>федеральный бюджет</v>
      </c>
      <c r="C150" s="109">
        <f>Лист1!I147</f>
        <v>0</v>
      </c>
      <c r="D150" s="177">
        <v>0</v>
      </c>
      <c r="E150" s="172">
        <v>0</v>
      </c>
      <c r="F150" s="108"/>
    </row>
    <row r="151" spans="1:6" hidden="1" x14ac:dyDescent="0.25">
      <c r="A151" s="184">
        <f>'изм. 31'!A153</f>
        <v>103</v>
      </c>
      <c r="B151" s="98" t="str">
        <f>'изм. 31'!B148</f>
        <v>областной бюджет</v>
      </c>
      <c r="C151" s="109">
        <f>Лист1!I148</f>
        <v>0</v>
      </c>
      <c r="D151" s="177">
        <v>0</v>
      </c>
      <c r="E151" s="172">
        <v>0</v>
      </c>
      <c r="F151" s="108"/>
    </row>
    <row r="152" spans="1:6" hidden="1" x14ac:dyDescent="0.25">
      <c r="A152" s="184">
        <f>'изм. 31'!A154</f>
        <v>104</v>
      </c>
      <c r="B152" s="98" t="str">
        <f>'изм. 31'!B149</f>
        <v>местный бюджет</v>
      </c>
      <c r="C152" s="109">
        <f>Лист1!I149</f>
        <v>0</v>
      </c>
      <c r="D152" s="177">
        <v>0</v>
      </c>
      <c r="E152" s="172">
        <v>0</v>
      </c>
      <c r="F152" s="108"/>
    </row>
    <row r="153" spans="1:6" hidden="1" x14ac:dyDescent="0.25">
      <c r="A153" s="184">
        <f>'изм. 31'!A155</f>
        <v>105</v>
      </c>
      <c r="B153" s="98" t="str">
        <f>'изм. 31'!B150</f>
        <v>внебюджетные источники</v>
      </c>
      <c r="C153" s="109">
        <f>Лист1!I150</f>
        <v>0</v>
      </c>
      <c r="D153" s="177">
        <v>0</v>
      </c>
      <c r="E153" s="172">
        <v>0</v>
      </c>
      <c r="F153" s="108"/>
    </row>
    <row r="154" spans="1:6" ht="108.75" x14ac:dyDescent="0.25">
      <c r="A154" s="184">
        <f>'изм. 31'!A156</f>
        <v>106</v>
      </c>
      <c r="B154" s="107" t="str">
        <f>'изм. 31'!B151</f>
        <v>Мероприятие 6. Информатизация муниципальных библиотек, в том числе комплектование книжных фондов (включая приобретение электронных версий книг и приобретение (подписку) периодических изданий), приобретение компьютерного оборудования и лицензионного программного обеспечения, подключение муниципальных библиотек к сети Интернет, всего, из них:</v>
      </c>
      <c r="C154" s="109">
        <f>C155+C156+C157+C158</f>
        <v>445260.79999999999</v>
      </c>
      <c r="D154" s="109">
        <f>D155+D156+D157+D158</f>
        <v>445260.79999999999</v>
      </c>
      <c r="E154" s="173">
        <f t="shared" si="5"/>
        <v>100.01</v>
      </c>
      <c r="F154" s="108"/>
    </row>
    <row r="155" spans="1:6" x14ac:dyDescent="0.25">
      <c r="A155" s="184">
        <f>'изм. 31'!A157</f>
        <v>107</v>
      </c>
      <c r="B155" s="98" t="str">
        <f>'изм. 31'!B152</f>
        <v>федеральный бюджет</v>
      </c>
      <c r="C155" s="106">
        <f>Лист1!I152</f>
        <v>0</v>
      </c>
      <c r="D155" s="111">
        <v>0</v>
      </c>
      <c r="E155" s="172">
        <v>0</v>
      </c>
      <c r="F155" s="108"/>
    </row>
    <row r="156" spans="1:6" x14ac:dyDescent="0.25">
      <c r="A156" s="184">
        <f>'изм. 31'!A158</f>
        <v>108</v>
      </c>
      <c r="B156" s="98" t="str">
        <f>'изм. 31'!B153</f>
        <v>областной бюджет</v>
      </c>
      <c r="C156" s="106">
        <v>0</v>
      </c>
      <c r="D156" s="111">
        <v>0</v>
      </c>
      <c r="E156" s="172">
        <v>0</v>
      </c>
      <c r="F156" s="108"/>
    </row>
    <row r="157" spans="1:6" x14ac:dyDescent="0.25">
      <c r="A157" s="184">
        <f>'изм. 31'!A159</f>
        <v>109</v>
      </c>
      <c r="B157" s="98" t="str">
        <f>'изм. 31'!B154</f>
        <v>местный бюджет</v>
      </c>
      <c r="C157" s="106">
        <v>445260.79999999999</v>
      </c>
      <c r="D157" s="111">
        <v>445260.79999999999</v>
      </c>
      <c r="E157" s="172">
        <f t="shared" ref="E157:E246" si="6">D157/C157*100+IF(D157/C157=0,0,D157/C157/100)</f>
        <v>100.01</v>
      </c>
      <c r="F157" s="108"/>
    </row>
    <row r="158" spans="1:6" x14ac:dyDescent="0.25">
      <c r="A158" s="184">
        <f>'изм. 31'!A160</f>
        <v>110</v>
      </c>
      <c r="B158" s="98" t="str">
        <f>'изм. 31'!B155</f>
        <v>внебюджетные источники</v>
      </c>
      <c r="C158" s="106">
        <f>Лист1!I155</f>
        <v>0</v>
      </c>
      <c r="D158" s="111">
        <v>0</v>
      </c>
      <c r="E158" s="172">
        <v>0</v>
      </c>
      <c r="F158" s="108"/>
    </row>
    <row r="159" spans="1:6" ht="36.75" x14ac:dyDescent="0.25">
      <c r="A159" s="184">
        <f>'изм. 31'!A161</f>
        <v>111</v>
      </c>
      <c r="B159" s="107" t="str">
        <f>'изм. 31'!B156</f>
        <v>Мероприятие 7. Организация центров общественного доступа к сети Интернет на базе муниципальных библиотек , всего, из них:</v>
      </c>
      <c r="C159" s="109">
        <f>Лист1!I156</f>
        <v>0</v>
      </c>
      <c r="D159" s="110">
        <f>SUM(D160:D163)</f>
        <v>0</v>
      </c>
      <c r="E159" s="173">
        <v>0</v>
      </c>
      <c r="F159" s="108"/>
    </row>
    <row r="160" spans="1:6" x14ac:dyDescent="0.25">
      <c r="A160" s="184">
        <f>'изм. 31'!A162</f>
        <v>112</v>
      </c>
      <c r="B160" s="98" t="str">
        <f>'изм. 31'!B157</f>
        <v>федеральный бюджет</v>
      </c>
      <c r="C160" s="106">
        <f>Лист1!I157</f>
        <v>0</v>
      </c>
      <c r="D160" s="111">
        <v>0</v>
      </c>
      <c r="E160" s="172">
        <v>0</v>
      </c>
      <c r="F160" s="108"/>
    </row>
    <row r="161" spans="1:6" x14ac:dyDescent="0.25">
      <c r="A161" s="184">
        <f>'изм. 31'!A163</f>
        <v>113</v>
      </c>
      <c r="B161" s="98" t="str">
        <f>'изм. 31'!B158</f>
        <v>областной бюджет</v>
      </c>
      <c r="C161" s="106">
        <f>Лист1!I158</f>
        <v>0</v>
      </c>
      <c r="D161" s="111">
        <v>0</v>
      </c>
      <c r="E161" s="172">
        <v>0</v>
      </c>
      <c r="F161" s="108"/>
    </row>
    <row r="162" spans="1:6" x14ac:dyDescent="0.25">
      <c r="A162" s="184">
        <f>'изм. 31'!A164</f>
        <v>114</v>
      </c>
      <c r="B162" s="98" t="str">
        <f>'изм. 31'!B159</f>
        <v>местный бюджет</v>
      </c>
      <c r="C162" s="106">
        <f>Лист1!I159</f>
        <v>0</v>
      </c>
      <c r="D162" s="111">
        <v>0</v>
      </c>
      <c r="E162" s="172">
        <v>0</v>
      </c>
      <c r="F162" s="108"/>
    </row>
    <row r="163" spans="1:6" x14ac:dyDescent="0.25">
      <c r="A163" s="184">
        <f>'изм. 31'!A165</f>
        <v>115</v>
      </c>
      <c r="B163" s="98" t="str">
        <f>'изм. 31'!B160</f>
        <v>внебюджетные источники</v>
      </c>
      <c r="C163" s="106">
        <f>Лист1!I160</f>
        <v>0</v>
      </c>
      <c r="D163" s="111">
        <v>0</v>
      </c>
      <c r="E163" s="172">
        <v>0</v>
      </c>
      <c r="F163" s="108"/>
    </row>
    <row r="164" spans="1:6" ht="48.75" x14ac:dyDescent="0.25">
      <c r="A164" s="184">
        <f>'изм. 31'!A166</f>
        <v>116</v>
      </c>
      <c r="B164" s="107" t="str">
        <f>'изм. 31'!B161</f>
        <v>Мероприятие 8.  Организация деятельности муниципальных музеев, приобретение и хранение музейных предметов и музейных коллекций, всего, из них:</v>
      </c>
      <c r="C164" s="109">
        <f>C165+C166+C167+C168</f>
        <v>7339414.0999999996</v>
      </c>
      <c r="D164" s="109">
        <f>D165+D166+D167+D168</f>
        <v>7131511.6299999999</v>
      </c>
      <c r="E164" s="173">
        <f t="shared" si="6"/>
        <v>97.17703189908579</v>
      </c>
      <c r="F164" s="108"/>
    </row>
    <row r="165" spans="1:6" x14ac:dyDescent="0.25">
      <c r="A165" s="184">
        <f>'изм. 31'!A167</f>
        <v>117</v>
      </c>
      <c r="B165" s="98" t="str">
        <f>'изм. 31'!B162</f>
        <v>федеральный бюджет</v>
      </c>
      <c r="C165" s="106">
        <f>Лист1!I162</f>
        <v>0</v>
      </c>
      <c r="D165" s="111">
        <v>0</v>
      </c>
      <c r="E165" s="172">
        <v>0</v>
      </c>
      <c r="F165" s="108"/>
    </row>
    <row r="166" spans="1:6" x14ac:dyDescent="0.25">
      <c r="A166" s="184">
        <f>'изм. 31'!A168</f>
        <v>118</v>
      </c>
      <c r="B166" s="98" t="str">
        <f>'изм. 31'!B163</f>
        <v>областной бюджет</v>
      </c>
      <c r="C166" s="106">
        <f>Лист1!I163</f>
        <v>0</v>
      </c>
      <c r="D166" s="111">
        <v>0</v>
      </c>
      <c r="E166" s="172">
        <v>0</v>
      </c>
      <c r="F166" s="108"/>
    </row>
    <row r="167" spans="1:6" x14ac:dyDescent="0.25">
      <c r="A167" s="184">
        <f>'изм. 31'!A169</f>
        <v>119</v>
      </c>
      <c r="B167" s="98" t="str">
        <f>'изм. 31'!B164</f>
        <v>местный бюджет</v>
      </c>
      <c r="C167" s="106">
        <v>7163676.0999999996</v>
      </c>
      <c r="D167" s="111">
        <v>7043309.8399999999</v>
      </c>
      <c r="E167" s="172">
        <f>D167/C167*100+IF(D167/C167=0,0,D167/C167/100)</f>
        <v>98.329601627075249</v>
      </c>
      <c r="F167" s="108"/>
    </row>
    <row r="168" spans="1:6" x14ac:dyDescent="0.25">
      <c r="A168" s="184">
        <f>'изм. 31'!A170</f>
        <v>120</v>
      </c>
      <c r="B168" s="98" t="str">
        <f>'изм. 31'!B165</f>
        <v>внебюджетные источники</v>
      </c>
      <c r="C168" s="106">
        <v>175738</v>
      </c>
      <c r="D168" s="111">
        <v>88201.79</v>
      </c>
      <c r="E168" s="172">
        <f>D168/C168*100+IF(D168/C168=0,0,D168/C168/100)</f>
        <v>50.194386062775266</v>
      </c>
      <c r="F168" s="108"/>
    </row>
    <row r="169" spans="1:6" ht="60.75" hidden="1" x14ac:dyDescent="0.25">
      <c r="A169" s="184">
        <f>'изм. 31'!A171</f>
        <v>121</v>
      </c>
      <c r="B169" s="107" t="str">
        <f>'изм. 31'!B166</f>
        <v xml:space="preserve">Мероприятие 8.1.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 </v>
      </c>
      <c r="C169" s="109">
        <f>Лист1!I166</f>
        <v>0</v>
      </c>
      <c r="D169" s="178">
        <v>826932.3</v>
      </c>
      <c r="E169" s="173" t="e">
        <f t="shared" si="6"/>
        <v>#DIV/0!</v>
      </c>
      <c r="F169" s="108"/>
    </row>
    <row r="170" spans="1:6" hidden="1" x14ac:dyDescent="0.25">
      <c r="A170" s="184">
        <f>'изм. 31'!A172</f>
        <v>122</v>
      </c>
      <c r="B170" s="98" t="str">
        <f>'изм. 31'!B167</f>
        <v>федеральный бюджет</v>
      </c>
      <c r="C170" s="109">
        <f>Лист1!I167</f>
        <v>0</v>
      </c>
      <c r="D170" s="177">
        <v>0</v>
      </c>
      <c r="E170" s="172">
        <v>0</v>
      </c>
      <c r="F170" s="108"/>
    </row>
    <row r="171" spans="1:6" hidden="1" x14ac:dyDescent="0.25">
      <c r="A171" s="184">
        <f>'изм. 31'!A173</f>
        <v>123</v>
      </c>
      <c r="B171" s="98" t="str">
        <f>'изм. 31'!B168</f>
        <v>областной бюджет</v>
      </c>
      <c r="C171" s="109">
        <f>Лист1!I168</f>
        <v>0</v>
      </c>
      <c r="D171" s="177">
        <v>0</v>
      </c>
      <c r="E171" s="172">
        <v>0</v>
      </c>
      <c r="F171" s="108"/>
    </row>
    <row r="172" spans="1:6" hidden="1" x14ac:dyDescent="0.25">
      <c r="A172" s="184">
        <f>'изм. 31'!A174</f>
        <v>124</v>
      </c>
      <c r="B172" s="98" t="str">
        <f>'изм. 31'!B169</f>
        <v>местный бюджет</v>
      </c>
      <c r="C172" s="109">
        <f>Лист1!I169</f>
        <v>0</v>
      </c>
      <c r="D172" s="177">
        <v>826932.3</v>
      </c>
      <c r="E172" s="172" t="e">
        <f t="shared" si="6"/>
        <v>#DIV/0!</v>
      </c>
      <c r="F172" s="108"/>
    </row>
    <row r="173" spans="1:6" hidden="1" x14ac:dyDescent="0.25">
      <c r="A173" s="184">
        <f>'изм. 31'!A175</f>
        <v>125</v>
      </c>
      <c r="B173" s="98" t="str">
        <f>'изм. 31'!B170</f>
        <v>внебюджетные источники</v>
      </c>
      <c r="C173" s="109">
        <f>Лист1!I170</f>
        <v>0</v>
      </c>
      <c r="D173" s="177">
        <v>0</v>
      </c>
      <c r="E173" s="172">
        <v>0</v>
      </c>
      <c r="F173" s="108"/>
    </row>
    <row r="174" spans="1:6" ht="48.75" x14ac:dyDescent="0.25">
      <c r="A174" s="184">
        <f>'изм. 31'!A176</f>
        <v>126</v>
      </c>
      <c r="B174" s="107" t="str">
        <f>'изм. 31'!B171</f>
        <v>Мероприятие 9. Организация библиотечного обслуживания населения, формирование и хранение библиотечных фондов муниципальных библиотек, всего, из них:</v>
      </c>
      <c r="C174" s="109">
        <f>C175+C176+C177+C178</f>
        <v>26228416.379999999</v>
      </c>
      <c r="D174" s="109">
        <f>D175+D176+D177+D178</f>
        <v>25866109.740000002</v>
      </c>
      <c r="E174" s="173">
        <f t="shared" si="6"/>
        <v>98.62851030037676</v>
      </c>
      <c r="F174" s="108"/>
    </row>
    <row r="175" spans="1:6" x14ac:dyDescent="0.25">
      <c r="A175" s="184">
        <f>'изм. 31'!A177</f>
        <v>127</v>
      </c>
      <c r="B175" s="98" t="str">
        <f>'изм. 31'!B172</f>
        <v>федеральный бюджет</v>
      </c>
      <c r="C175" s="106">
        <f>Лист1!I172</f>
        <v>0</v>
      </c>
      <c r="D175" s="111">
        <v>0</v>
      </c>
      <c r="E175" s="172">
        <v>0</v>
      </c>
      <c r="F175" s="108"/>
    </row>
    <row r="176" spans="1:6" x14ac:dyDescent="0.25">
      <c r="A176" s="184">
        <f>'изм. 31'!A178</f>
        <v>128</v>
      </c>
      <c r="B176" s="98" t="str">
        <f>'изм. 31'!B173</f>
        <v>областной бюджет</v>
      </c>
      <c r="C176" s="106">
        <f>Лист1!I173</f>
        <v>0</v>
      </c>
      <c r="D176" s="111">
        <v>0</v>
      </c>
      <c r="E176" s="172">
        <v>0</v>
      </c>
      <c r="F176" s="108"/>
    </row>
    <row r="177" spans="1:6" x14ac:dyDescent="0.25">
      <c r="A177" s="184">
        <f>'изм. 31'!A179</f>
        <v>129</v>
      </c>
      <c r="B177" s="98" t="str">
        <f>'изм. 31'!B174</f>
        <v>местный бюджет</v>
      </c>
      <c r="C177" s="106">
        <v>26156416.559999999</v>
      </c>
      <c r="D177" s="111">
        <v>25807543.920000002</v>
      </c>
      <c r="E177" s="172">
        <f t="shared" si="6"/>
        <v>98.676072906188651</v>
      </c>
      <c r="F177" s="108"/>
    </row>
    <row r="178" spans="1:6" x14ac:dyDescent="0.25">
      <c r="A178" s="184">
        <f>'изм. 31'!A180</f>
        <v>130</v>
      </c>
      <c r="B178" s="98" t="str">
        <f>'изм. 31'!B175</f>
        <v>внебюджетные источники</v>
      </c>
      <c r="C178" s="106">
        <v>71999.820000000007</v>
      </c>
      <c r="D178" s="111">
        <v>58565.82</v>
      </c>
      <c r="E178" s="172">
        <f>D178/C178*100+IF(D178/C178=0,0,D178/C178/100)</f>
        <v>81.349754182718769</v>
      </c>
      <c r="F178" s="108"/>
    </row>
    <row r="179" spans="1:6" ht="60.75" hidden="1" x14ac:dyDescent="0.25">
      <c r="A179" s="184">
        <f>'изм. 31'!A181</f>
        <v>131</v>
      </c>
      <c r="B179" s="107" t="str">
        <f>'изм. 31'!B176</f>
        <v>Мероприятие 9.1.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v>
      </c>
      <c r="C179" s="109">
        <f>Лист1!I176</f>
        <v>0</v>
      </c>
      <c r="D179" s="178">
        <v>2110399.7599999998</v>
      </c>
      <c r="E179" s="173" t="e">
        <f t="shared" si="6"/>
        <v>#DIV/0!</v>
      </c>
      <c r="F179" s="108"/>
    </row>
    <row r="180" spans="1:6" hidden="1" x14ac:dyDescent="0.25">
      <c r="A180" s="184">
        <f>'изм. 31'!A182</f>
        <v>132</v>
      </c>
      <c r="B180" s="98" t="str">
        <f>'изм. 31'!B177</f>
        <v>федеральный бюджет</v>
      </c>
      <c r="C180" s="109">
        <f>Лист1!I177</f>
        <v>0</v>
      </c>
      <c r="D180" s="177">
        <v>0</v>
      </c>
      <c r="E180" s="172">
        <v>0</v>
      </c>
      <c r="F180" s="108"/>
    </row>
    <row r="181" spans="1:6" hidden="1" x14ac:dyDescent="0.25">
      <c r="A181" s="184">
        <f>'изм. 31'!A183</f>
        <v>133</v>
      </c>
      <c r="B181" s="98" t="str">
        <f>'изм. 31'!B178</f>
        <v>областной бюджет</v>
      </c>
      <c r="C181" s="109">
        <f>Лист1!I178</f>
        <v>0</v>
      </c>
      <c r="D181" s="177">
        <v>0</v>
      </c>
      <c r="E181" s="172">
        <v>0</v>
      </c>
      <c r="F181" s="108"/>
    </row>
    <row r="182" spans="1:6" hidden="1" x14ac:dyDescent="0.25">
      <c r="A182" s="184">
        <f>'изм. 31'!A184</f>
        <v>134</v>
      </c>
      <c r="B182" s="98" t="str">
        <f>'изм. 31'!B179</f>
        <v>местный бюджет</v>
      </c>
      <c r="C182" s="109">
        <f>Лист1!I179</f>
        <v>0</v>
      </c>
      <c r="D182" s="177">
        <v>2110399.7599999998</v>
      </c>
      <c r="E182" s="172" t="e">
        <f t="shared" si="6"/>
        <v>#DIV/0!</v>
      </c>
      <c r="F182" s="108"/>
    </row>
    <row r="183" spans="1:6" hidden="1" x14ac:dyDescent="0.25">
      <c r="A183" s="184">
        <f>'изм. 31'!A185</f>
        <v>135</v>
      </c>
      <c r="B183" s="98" t="str">
        <f>'изм. 31'!B180</f>
        <v>внебюджетные источники</v>
      </c>
      <c r="C183" s="109">
        <f>Лист1!I180</f>
        <v>0</v>
      </c>
      <c r="D183" s="177">
        <v>0</v>
      </c>
      <c r="E183" s="172">
        <v>0</v>
      </c>
      <c r="F183" s="108"/>
    </row>
    <row r="184" spans="1:6" ht="36.75" x14ac:dyDescent="0.25">
      <c r="A184" s="184">
        <f>'изм. 31'!A186</f>
        <v>136</v>
      </c>
      <c r="B184" s="107" t="str">
        <f>'изм. 31'!B181</f>
        <v>Мероприятие 10. Организация деятельности муниципальных учреждений культуры и искусства культурно-досуговой сферы</v>
      </c>
      <c r="C184" s="109">
        <f>C185+C186+C187+C188</f>
        <v>79848701.980000004</v>
      </c>
      <c r="D184" s="110">
        <f>SUM(D185:D188)</f>
        <v>71606497.789999992</v>
      </c>
      <c r="E184" s="173">
        <f t="shared" si="6"/>
        <v>89.686690783923225</v>
      </c>
      <c r="F184" s="108"/>
    </row>
    <row r="185" spans="1:6" x14ac:dyDescent="0.25">
      <c r="A185" s="184">
        <f>'изм. 31'!A187</f>
        <v>137</v>
      </c>
      <c r="B185" s="98" t="str">
        <f>'изм. 31'!B182</f>
        <v>федеральный бюджет</v>
      </c>
      <c r="C185" s="106">
        <f>Лист1!I182</f>
        <v>0</v>
      </c>
      <c r="D185" s="111">
        <v>0</v>
      </c>
      <c r="E185" s="172">
        <v>0</v>
      </c>
      <c r="F185" s="108"/>
    </row>
    <row r="186" spans="1:6" x14ac:dyDescent="0.25">
      <c r="A186" s="184">
        <f>'изм. 31'!A188</f>
        <v>138</v>
      </c>
      <c r="B186" s="98" t="str">
        <f>'изм. 31'!B183</f>
        <v>областной бюджет</v>
      </c>
      <c r="C186" s="106">
        <f>Лист1!I183</f>
        <v>0</v>
      </c>
      <c r="D186" s="111">
        <v>0</v>
      </c>
      <c r="E186" s="172">
        <v>0</v>
      </c>
      <c r="F186" s="108"/>
    </row>
    <row r="187" spans="1:6" x14ac:dyDescent="0.25">
      <c r="A187" s="184">
        <f>'изм. 31'!A189</f>
        <v>139</v>
      </c>
      <c r="B187" s="98" t="str">
        <f>'изм. 31'!B184</f>
        <v>местный бюджет</v>
      </c>
      <c r="C187" s="106">
        <v>65765907.990000002</v>
      </c>
      <c r="D187" s="111">
        <v>65101267.049999997</v>
      </c>
      <c r="E187" s="172">
        <f t="shared" si="6"/>
        <v>98.999282708306737</v>
      </c>
      <c r="F187" s="108"/>
    </row>
    <row r="188" spans="1:6" x14ac:dyDescent="0.25">
      <c r="A188" s="184">
        <f>'изм. 31'!A190</f>
        <v>140</v>
      </c>
      <c r="B188" s="98" t="str">
        <f>'изм. 31'!B185</f>
        <v>внебюджетные источники</v>
      </c>
      <c r="C188" s="106">
        <v>14082793.99</v>
      </c>
      <c r="D188" s="111">
        <v>6505230.7400000002</v>
      </c>
      <c r="E188" s="172">
        <f t="shared" si="6"/>
        <v>46.197375802654911</v>
      </c>
      <c r="F188" s="108"/>
    </row>
    <row r="189" spans="1:6" ht="60.75" hidden="1" x14ac:dyDescent="0.25">
      <c r="A189" s="184">
        <f>'изм. 31'!A191</f>
        <v>141</v>
      </c>
      <c r="B189" s="107" t="str">
        <f>'изм. 31'!B186</f>
        <v>Мероприятие 10.1.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v>
      </c>
      <c r="C189" s="109">
        <f>Лист1!I186</f>
        <v>0</v>
      </c>
      <c r="D189" s="178">
        <v>10001512.890000001</v>
      </c>
      <c r="E189" s="173" t="e">
        <f t="shared" si="6"/>
        <v>#DIV/0!</v>
      </c>
      <c r="F189" s="108"/>
    </row>
    <row r="190" spans="1:6" hidden="1" x14ac:dyDescent="0.25">
      <c r="A190" s="184">
        <f>'изм. 31'!A192</f>
        <v>142</v>
      </c>
      <c r="B190" s="98" t="str">
        <f>'изм. 31'!B187</f>
        <v>федеральный бюджет</v>
      </c>
      <c r="C190" s="109">
        <f>Лист1!I187</f>
        <v>0</v>
      </c>
      <c r="D190" s="177">
        <v>0</v>
      </c>
      <c r="E190" s="172">
        <v>0</v>
      </c>
      <c r="F190" s="108"/>
    </row>
    <row r="191" spans="1:6" hidden="1" x14ac:dyDescent="0.25">
      <c r="A191" s="184">
        <f>'изм. 31'!A193</f>
        <v>143</v>
      </c>
      <c r="B191" s="98" t="str">
        <f>'изм. 31'!B188</f>
        <v>областной бюджет</v>
      </c>
      <c r="C191" s="109">
        <f>Лист1!I188</f>
        <v>0</v>
      </c>
      <c r="D191" s="177">
        <v>0</v>
      </c>
      <c r="E191" s="172">
        <v>0</v>
      </c>
      <c r="F191" s="108"/>
    </row>
    <row r="192" spans="1:6" hidden="1" x14ac:dyDescent="0.25">
      <c r="A192" s="184">
        <f>'изм. 31'!A194</f>
        <v>144</v>
      </c>
      <c r="B192" s="98" t="str">
        <f>'изм. 31'!B189</f>
        <v>местный бюджет</v>
      </c>
      <c r="C192" s="109">
        <f>Лист1!I189</f>
        <v>0</v>
      </c>
      <c r="D192" s="177">
        <v>10001512.890000001</v>
      </c>
      <c r="E192" s="172" t="e">
        <f t="shared" si="6"/>
        <v>#DIV/0!</v>
      </c>
      <c r="F192" s="108"/>
    </row>
    <row r="193" spans="1:6" hidden="1" x14ac:dyDescent="0.25">
      <c r="A193" s="184">
        <f>'изм. 31'!A195</f>
        <v>145</v>
      </c>
      <c r="B193" s="98" t="str">
        <f>'изм. 31'!B190</f>
        <v>внебюджетные источники</v>
      </c>
      <c r="C193" s="109">
        <f>Лист1!I190</f>
        <v>0</v>
      </c>
      <c r="D193" s="177">
        <v>0</v>
      </c>
      <c r="E193" s="172">
        <v>0</v>
      </c>
      <c r="F193" s="108"/>
    </row>
    <row r="194" spans="1:6" ht="72.75" x14ac:dyDescent="0.25">
      <c r="A194" s="184">
        <f>'изм. 31'!A196</f>
        <v>146</v>
      </c>
      <c r="B194" s="107" t="str">
        <f>'изм. 31'!B191</f>
        <v>Мероприятие 11. Оказание  поддержки на конкурсной основе лучшим работникам муниципальных учреждений  в сфере культуры и искусства, в том числе находящихся на территориях сельских поселений Свердловской области, всего,                                        из них:</v>
      </c>
      <c r="C194" s="109">
        <f>C195+C196+C197+C198</f>
        <v>75000</v>
      </c>
      <c r="D194" s="110">
        <f>SUM(D195:D198)</f>
        <v>75000</v>
      </c>
      <c r="E194" s="173">
        <f t="shared" si="6"/>
        <v>100.01</v>
      </c>
      <c r="F194" s="108"/>
    </row>
    <row r="195" spans="1:6" x14ac:dyDescent="0.25">
      <c r="A195" s="184">
        <f>'изм. 31'!A197</f>
        <v>147</v>
      </c>
      <c r="B195" s="98" t="str">
        <f>'изм. 31'!B192</f>
        <v>федеральный бюджет</v>
      </c>
      <c r="C195" s="106">
        <f>Лист1!I192</f>
        <v>0</v>
      </c>
      <c r="D195" s="111">
        <v>0</v>
      </c>
      <c r="E195" s="172">
        <v>0</v>
      </c>
      <c r="F195" s="108"/>
    </row>
    <row r="196" spans="1:6" x14ac:dyDescent="0.25">
      <c r="A196" s="184">
        <f>'изм. 31'!A198</f>
        <v>148</v>
      </c>
      <c r="B196" s="98" t="str">
        <f>'изм. 31'!B193</f>
        <v>областной бюджет</v>
      </c>
      <c r="C196" s="106">
        <v>0</v>
      </c>
      <c r="D196" s="111">
        <v>0</v>
      </c>
      <c r="E196" s="172">
        <v>0</v>
      </c>
      <c r="F196" s="108"/>
    </row>
    <row r="197" spans="1:6" x14ac:dyDescent="0.25">
      <c r="A197" s="184">
        <f>'изм. 31'!A199</f>
        <v>149</v>
      </c>
      <c r="B197" s="98" t="str">
        <f>'изм. 31'!B194</f>
        <v>местный бюджет</v>
      </c>
      <c r="C197" s="106">
        <v>75000</v>
      </c>
      <c r="D197" s="111">
        <v>75000</v>
      </c>
      <c r="E197" s="172">
        <v>54.2</v>
      </c>
      <c r="F197" s="108"/>
    </row>
    <row r="198" spans="1:6" x14ac:dyDescent="0.25">
      <c r="A198" s="184">
        <f>'изм. 31'!A200</f>
        <v>150</v>
      </c>
      <c r="B198" s="98" t="str">
        <f>'изм. 31'!B195</f>
        <v>внебюджетные источники</v>
      </c>
      <c r="C198" s="106">
        <v>0</v>
      </c>
      <c r="D198" s="111">
        <v>0</v>
      </c>
      <c r="E198" s="172">
        <v>0</v>
      </c>
      <c r="F198" s="108"/>
    </row>
    <row r="199" spans="1:6" ht="24.75" x14ac:dyDescent="0.25">
      <c r="A199" s="184">
        <f>'изм. 31'!A201</f>
        <v>151</v>
      </c>
      <c r="B199" s="107" t="str">
        <f>'изм. 31'!B196</f>
        <v>Мероприятие 12. Обустройство парковых территорий, всего,                                        из них:</v>
      </c>
      <c r="C199" s="106">
        <f>Лист1!I196</f>
        <v>0</v>
      </c>
      <c r="D199" s="110">
        <f>SUM(D200:D203)</f>
        <v>0</v>
      </c>
      <c r="E199" s="173">
        <v>0</v>
      </c>
      <c r="F199" s="108"/>
    </row>
    <row r="200" spans="1:6" x14ac:dyDescent="0.25">
      <c r="A200" s="184">
        <f>'изм. 31'!A202</f>
        <v>152</v>
      </c>
      <c r="B200" s="98" t="str">
        <f>'изм. 31'!B197</f>
        <v>федеральный бюджет</v>
      </c>
      <c r="C200" s="106">
        <f>Лист1!I197</f>
        <v>0</v>
      </c>
      <c r="D200" s="111">
        <v>0</v>
      </c>
      <c r="E200" s="172">
        <v>0</v>
      </c>
      <c r="F200" s="108"/>
    </row>
    <row r="201" spans="1:6" x14ac:dyDescent="0.25">
      <c r="A201" s="184">
        <f>'изм. 31'!A203</f>
        <v>153</v>
      </c>
      <c r="B201" s="98" t="str">
        <f>'изм. 31'!B198</f>
        <v>областной бюджет</v>
      </c>
      <c r="C201" s="106">
        <f>Лист1!I198</f>
        <v>0</v>
      </c>
      <c r="D201" s="111">
        <v>0</v>
      </c>
      <c r="E201" s="172">
        <v>0</v>
      </c>
      <c r="F201" s="108"/>
    </row>
    <row r="202" spans="1:6" x14ac:dyDescent="0.25">
      <c r="A202" s="184">
        <f>'изм. 31'!A204</f>
        <v>154</v>
      </c>
      <c r="B202" s="98" t="str">
        <f>'изм. 31'!B199</f>
        <v>местный бюджет</v>
      </c>
      <c r="C202" s="106">
        <f>Лист1!I199</f>
        <v>0</v>
      </c>
      <c r="D202" s="111">
        <v>0</v>
      </c>
      <c r="E202" s="172">
        <v>0</v>
      </c>
      <c r="F202" s="108"/>
    </row>
    <row r="203" spans="1:6" x14ac:dyDescent="0.25">
      <c r="A203" s="184">
        <f>'изм. 31'!A205</f>
        <v>155</v>
      </c>
      <c r="B203" s="98" t="str">
        <f>'изм. 31'!B200</f>
        <v>внебюджетные источники</v>
      </c>
      <c r="C203" s="106">
        <f>Лист1!I200</f>
        <v>0</v>
      </c>
      <c r="D203" s="111">
        <v>0</v>
      </c>
      <c r="E203" s="172">
        <v>0</v>
      </c>
      <c r="F203" s="108"/>
    </row>
    <row r="204" spans="1:6" ht="72.75" customHeight="1" x14ac:dyDescent="0.25">
      <c r="A204" s="184">
        <f>'изм. 31'!A206</f>
        <v>156</v>
      </c>
      <c r="B204" s="107" t="s">
        <v>239</v>
      </c>
      <c r="C204" s="109">
        <v>0</v>
      </c>
      <c r="D204" s="110">
        <f>SUM(D205:D208)</f>
        <v>0</v>
      </c>
      <c r="E204" s="173">
        <v>0</v>
      </c>
      <c r="F204" s="108"/>
    </row>
    <row r="205" spans="1:6" x14ac:dyDescent="0.25">
      <c r="A205" s="184">
        <f>'изм. 31'!A207</f>
        <v>157</v>
      </c>
      <c r="B205" s="98" t="str">
        <f>'изм. 31'!B182</f>
        <v>федеральный бюджет</v>
      </c>
      <c r="C205" s="106">
        <f>Лист1!I182</f>
        <v>0</v>
      </c>
      <c r="D205" s="111">
        <v>0</v>
      </c>
      <c r="E205" s="172">
        <v>0</v>
      </c>
      <c r="F205" s="108"/>
    </row>
    <row r="206" spans="1:6" x14ac:dyDescent="0.25">
      <c r="A206" s="184">
        <f>'изм. 31'!A208</f>
        <v>158</v>
      </c>
      <c r="B206" s="98" t="str">
        <f>'изм. 31'!B183</f>
        <v>областной бюджет</v>
      </c>
      <c r="C206" s="106">
        <v>0</v>
      </c>
      <c r="D206" s="111">
        <v>0</v>
      </c>
      <c r="E206" s="172">
        <v>0</v>
      </c>
      <c r="F206" s="108"/>
    </row>
    <row r="207" spans="1:6" x14ac:dyDescent="0.25">
      <c r="A207" s="184">
        <f>'изм. 31'!A209</f>
        <v>159</v>
      </c>
      <c r="B207" s="98" t="str">
        <f>'изм. 31'!B184</f>
        <v>местный бюджет</v>
      </c>
      <c r="C207" s="106">
        <v>0</v>
      </c>
      <c r="D207" s="111">
        <v>0</v>
      </c>
      <c r="E207" s="172">
        <v>0</v>
      </c>
      <c r="F207" s="108"/>
    </row>
    <row r="208" spans="1:6" x14ac:dyDescent="0.25">
      <c r="A208" s="184">
        <f>'изм. 31'!A210</f>
        <v>160</v>
      </c>
      <c r="B208" s="98" t="str">
        <f>'изм. 31'!B185</f>
        <v>внебюджетные источники</v>
      </c>
      <c r="C208" s="106">
        <v>0</v>
      </c>
      <c r="D208" s="111">
        <v>0</v>
      </c>
      <c r="E208" s="172">
        <v>0</v>
      </c>
      <c r="F208" s="108"/>
    </row>
    <row r="209" spans="1:6" ht="39.75" customHeight="1" x14ac:dyDescent="0.25">
      <c r="A209" s="184">
        <f>'изм. 31'!A211</f>
        <v>161</v>
      </c>
      <c r="B209" s="107" t="s">
        <v>240</v>
      </c>
      <c r="C209" s="109">
        <f>C210+C211+C212+C213</f>
        <v>36166</v>
      </c>
      <c r="D209" s="109">
        <f>D210+D211+D212+D213</f>
        <v>36166</v>
      </c>
      <c r="E209" s="173">
        <f>D209/C209*100</f>
        <v>100</v>
      </c>
      <c r="F209" s="108"/>
    </row>
    <row r="210" spans="1:6" x14ac:dyDescent="0.25">
      <c r="A210" s="184">
        <f>'изм. 31'!A212</f>
        <v>162</v>
      </c>
      <c r="B210" s="98" t="str">
        <f>'изм. 31'!B187</f>
        <v>федеральный бюджет</v>
      </c>
      <c r="C210" s="106">
        <f>Лист1!I187</f>
        <v>0</v>
      </c>
      <c r="D210" s="111">
        <v>0</v>
      </c>
      <c r="E210" s="172">
        <v>0</v>
      </c>
      <c r="F210" s="108"/>
    </row>
    <row r="211" spans="1:6" x14ac:dyDescent="0.25">
      <c r="A211" s="184">
        <f>'изм. 31'!A213</f>
        <v>163</v>
      </c>
      <c r="B211" s="98" t="str">
        <f>'изм. 31'!B188</f>
        <v>областной бюджет</v>
      </c>
      <c r="C211" s="106">
        <v>0</v>
      </c>
      <c r="D211" s="111">
        <v>0</v>
      </c>
      <c r="E211" s="172">
        <v>0</v>
      </c>
      <c r="F211" s="108"/>
    </row>
    <row r="212" spans="1:6" x14ac:dyDescent="0.25">
      <c r="A212" s="184">
        <f>'изм. 31'!A214</f>
        <v>164</v>
      </c>
      <c r="B212" s="98" t="str">
        <f>'изм. 31'!B189</f>
        <v>местный бюджет</v>
      </c>
      <c r="C212" s="106">
        <v>36166</v>
      </c>
      <c r="D212" s="111">
        <v>36166</v>
      </c>
      <c r="E212" s="172">
        <f>D212/C212*100</f>
        <v>100</v>
      </c>
      <c r="F212" s="108"/>
    </row>
    <row r="213" spans="1:6" x14ac:dyDescent="0.25">
      <c r="A213" s="184">
        <f>'изм. 31'!A215</f>
        <v>165</v>
      </c>
      <c r="B213" s="98" t="str">
        <f>'изм. 31'!B190</f>
        <v>внебюджетные источники</v>
      </c>
      <c r="C213" s="106">
        <v>0</v>
      </c>
      <c r="D213" s="111">
        <v>0</v>
      </c>
      <c r="E213" s="172">
        <v>0</v>
      </c>
      <c r="F213" s="108"/>
    </row>
    <row r="214" spans="1:6" ht="84.75" x14ac:dyDescent="0.25">
      <c r="A214" s="184">
        <f>'изм. 31'!A216</f>
        <v>166</v>
      </c>
      <c r="B214" s="107" t="s">
        <v>241</v>
      </c>
      <c r="C214" s="109">
        <f>C215+C216+C217+C218</f>
        <v>0</v>
      </c>
      <c r="D214" s="109">
        <f>D215+D216+D217+D218</f>
        <v>0</v>
      </c>
      <c r="E214" s="173">
        <v>0</v>
      </c>
      <c r="F214" s="108"/>
    </row>
    <row r="215" spans="1:6" x14ac:dyDescent="0.25">
      <c r="A215" s="184">
        <f>'изм. 31'!A217</f>
        <v>167</v>
      </c>
      <c r="B215" s="98" t="str">
        <f>'изм. 31'!B192</f>
        <v>федеральный бюджет</v>
      </c>
      <c r="C215" s="106">
        <f>Лист1!I192</f>
        <v>0</v>
      </c>
      <c r="D215" s="111">
        <v>0</v>
      </c>
      <c r="E215" s="172">
        <v>0</v>
      </c>
      <c r="F215" s="108"/>
    </row>
    <row r="216" spans="1:6" x14ac:dyDescent="0.25">
      <c r="A216" s="184">
        <f>'изм. 31'!A218</f>
        <v>168</v>
      </c>
      <c r="B216" s="98" t="str">
        <f>'изм. 31'!B193</f>
        <v>областной бюджет</v>
      </c>
      <c r="C216" s="106">
        <v>0</v>
      </c>
      <c r="D216" s="111">
        <v>0</v>
      </c>
      <c r="E216" s="172">
        <v>0</v>
      </c>
      <c r="F216" s="108"/>
    </row>
    <row r="217" spans="1:6" x14ac:dyDescent="0.25">
      <c r="A217" s="184">
        <f>'изм. 31'!A219</f>
        <v>169</v>
      </c>
      <c r="B217" s="98" t="str">
        <f>'изм. 31'!B194</f>
        <v>местный бюджет</v>
      </c>
      <c r="C217" s="106">
        <v>0</v>
      </c>
      <c r="D217" s="111">
        <v>0</v>
      </c>
      <c r="E217" s="172">
        <v>0</v>
      </c>
      <c r="F217" s="108"/>
    </row>
    <row r="218" spans="1:6" x14ac:dyDescent="0.25">
      <c r="A218" s="184">
        <f>'изм. 31'!A220</f>
        <v>170</v>
      </c>
      <c r="B218" s="98" t="str">
        <f>'изм. 31'!B195</f>
        <v>внебюджетные источники</v>
      </c>
      <c r="C218" s="106">
        <v>0</v>
      </c>
      <c r="D218" s="111">
        <v>0</v>
      </c>
      <c r="E218" s="172">
        <v>0</v>
      </c>
      <c r="F218" s="108"/>
    </row>
    <row r="219" spans="1:6" ht="84.75" x14ac:dyDescent="0.25">
      <c r="A219" s="184">
        <f>'изм. 31'!A221</f>
        <v>171</v>
      </c>
      <c r="B219" s="107" t="s">
        <v>242</v>
      </c>
      <c r="C219" s="109">
        <f>C220+C221+C222+C223</f>
        <v>283087.5</v>
      </c>
      <c r="D219" s="109">
        <f>D220+D221+D222+D223</f>
        <v>283087.5</v>
      </c>
      <c r="E219" s="173">
        <f>D219/C219*100</f>
        <v>100</v>
      </c>
      <c r="F219" s="108"/>
    </row>
    <row r="220" spans="1:6" x14ac:dyDescent="0.25">
      <c r="A220" s="184">
        <f>'изм. 31'!A222</f>
        <v>172</v>
      </c>
      <c r="B220" s="98" t="str">
        <f>'изм. 31'!B197</f>
        <v>федеральный бюджет</v>
      </c>
      <c r="C220" s="106">
        <f>Лист1!I197</f>
        <v>0</v>
      </c>
      <c r="D220" s="111">
        <v>0</v>
      </c>
      <c r="E220" s="172">
        <v>0</v>
      </c>
      <c r="F220" s="108"/>
    </row>
    <row r="221" spans="1:6" x14ac:dyDescent="0.25">
      <c r="A221" s="184">
        <f>'изм. 31'!A223</f>
        <v>173</v>
      </c>
      <c r="B221" s="98" t="str">
        <f>'изм. 31'!B198</f>
        <v>областной бюджет</v>
      </c>
      <c r="C221" s="106">
        <v>226470</v>
      </c>
      <c r="D221" s="111">
        <v>226470</v>
      </c>
      <c r="E221" s="172">
        <v>100</v>
      </c>
      <c r="F221" s="108"/>
    </row>
    <row r="222" spans="1:6" x14ac:dyDescent="0.25">
      <c r="A222" s="184">
        <f>'изм. 31'!A224</f>
        <v>174</v>
      </c>
      <c r="B222" s="98" t="str">
        <f>'изм. 31'!B199</f>
        <v>местный бюджет</v>
      </c>
      <c r="C222" s="106">
        <v>56617.5</v>
      </c>
      <c r="D222" s="111">
        <v>56617.5</v>
      </c>
      <c r="E222" s="172">
        <v>100</v>
      </c>
      <c r="F222" s="108"/>
    </row>
    <row r="223" spans="1:6" x14ac:dyDescent="0.25">
      <c r="A223" s="184">
        <f>'изм. 31'!A225</f>
        <v>175</v>
      </c>
      <c r="B223" s="98" t="str">
        <f>'изм. 31'!B200</f>
        <v>внебюджетные источники</v>
      </c>
      <c r="C223" s="106">
        <v>0</v>
      </c>
      <c r="D223" s="111">
        <v>0</v>
      </c>
      <c r="E223" s="172">
        <v>0</v>
      </c>
      <c r="F223" s="108"/>
    </row>
    <row r="224" spans="1:6" ht="36.75" x14ac:dyDescent="0.25">
      <c r="A224" s="184">
        <f>'изм. 31'!A226</f>
        <v>176</v>
      </c>
      <c r="B224" s="107" t="s">
        <v>244</v>
      </c>
      <c r="C224" s="109">
        <f>C225+C226+C227+C228</f>
        <v>500000</v>
      </c>
      <c r="D224" s="109">
        <f>D225+D226+D227+D228</f>
        <v>500000</v>
      </c>
      <c r="E224" s="173">
        <f>D224/C224*100</f>
        <v>100</v>
      </c>
      <c r="F224" s="108"/>
    </row>
    <row r="225" spans="1:6" x14ac:dyDescent="0.25">
      <c r="A225" s="184">
        <f>'изм. 31'!A227</f>
        <v>177</v>
      </c>
      <c r="B225" s="98" t="str">
        <f>'изм. 31'!B197</f>
        <v>федеральный бюджет</v>
      </c>
      <c r="C225" s="106">
        <f>Лист1!I197</f>
        <v>0</v>
      </c>
      <c r="D225" s="111">
        <v>0</v>
      </c>
      <c r="E225" s="172">
        <v>0</v>
      </c>
      <c r="F225" s="108"/>
    </row>
    <row r="226" spans="1:6" x14ac:dyDescent="0.25">
      <c r="A226" s="184">
        <f>'изм. 31'!A228</f>
        <v>178</v>
      </c>
      <c r="B226" s="98" t="str">
        <f>'изм. 31'!B198</f>
        <v>областной бюджет</v>
      </c>
      <c r="C226" s="106">
        <v>0</v>
      </c>
      <c r="D226" s="111">
        <v>0</v>
      </c>
      <c r="E226" s="172">
        <v>0</v>
      </c>
      <c r="F226" s="108"/>
    </row>
    <row r="227" spans="1:6" x14ac:dyDescent="0.25">
      <c r="A227" s="184">
        <f>'изм. 31'!A229</f>
        <v>179</v>
      </c>
      <c r="B227" s="98" t="str">
        <f>'изм. 31'!B199</f>
        <v>местный бюджет</v>
      </c>
      <c r="C227" s="106">
        <v>500000</v>
      </c>
      <c r="D227" s="111">
        <v>500000</v>
      </c>
      <c r="E227" s="172">
        <f>D227/C227*100</f>
        <v>100</v>
      </c>
      <c r="F227" s="108"/>
    </row>
    <row r="228" spans="1:6" x14ac:dyDescent="0.25">
      <c r="A228" s="184">
        <f>'изм. 31'!A230</f>
        <v>180</v>
      </c>
      <c r="B228" s="98" t="str">
        <f>'изм. 31'!B200</f>
        <v>внебюджетные источники</v>
      </c>
      <c r="C228" s="106">
        <f>Лист1!I200</f>
        <v>0</v>
      </c>
      <c r="D228" s="111">
        <v>0</v>
      </c>
      <c r="E228" s="172">
        <v>0</v>
      </c>
      <c r="F228" s="108"/>
    </row>
    <row r="229" spans="1:6" ht="48.75" x14ac:dyDescent="0.25">
      <c r="A229" s="191">
        <f>'изм. 31'!A231</f>
        <v>181</v>
      </c>
      <c r="B229" s="107" t="s">
        <v>243</v>
      </c>
      <c r="C229" s="109">
        <f>C230+C231+C232+C233</f>
        <v>200000</v>
      </c>
      <c r="D229" s="109">
        <f>D230+D231+D232+D233</f>
        <v>200000</v>
      </c>
      <c r="E229" s="173">
        <f>D229/C229*100</f>
        <v>100</v>
      </c>
      <c r="F229" s="108"/>
    </row>
    <row r="230" spans="1:6" x14ac:dyDescent="0.25">
      <c r="A230" s="191">
        <f>'изм. 31'!A232</f>
        <v>182</v>
      </c>
      <c r="B230" s="98" t="str">
        <f>'изм. 31'!B202</f>
        <v>федеральный бюджет</v>
      </c>
      <c r="C230" s="106">
        <f>Лист1!I202</f>
        <v>0</v>
      </c>
      <c r="D230" s="111">
        <v>0</v>
      </c>
      <c r="E230" s="172">
        <v>0</v>
      </c>
      <c r="F230" s="108"/>
    </row>
    <row r="231" spans="1:6" x14ac:dyDescent="0.25">
      <c r="A231" s="191">
        <f>'изм. 31'!A233</f>
        <v>183</v>
      </c>
      <c r="B231" s="98" t="str">
        <f>'изм. 31'!B203</f>
        <v>областной бюджет</v>
      </c>
      <c r="C231" s="106">
        <v>200000</v>
      </c>
      <c r="D231" s="111">
        <v>200000</v>
      </c>
      <c r="E231" s="172">
        <f>D231/C231*100</f>
        <v>100</v>
      </c>
      <c r="F231" s="108"/>
    </row>
    <row r="232" spans="1:6" x14ac:dyDescent="0.25">
      <c r="A232" s="191">
        <f>'изм. 31'!A234</f>
        <v>184</v>
      </c>
      <c r="B232" s="98" t="str">
        <f>'изм. 31'!B204</f>
        <v>местный бюджет</v>
      </c>
      <c r="C232" s="106">
        <v>0</v>
      </c>
      <c r="D232" s="111">
        <v>0</v>
      </c>
      <c r="E232" s="172">
        <v>0</v>
      </c>
      <c r="F232" s="108"/>
    </row>
    <row r="233" spans="1:6" x14ac:dyDescent="0.25">
      <c r="A233" s="191">
        <f>'изм. 31'!A235</f>
        <v>185</v>
      </c>
      <c r="B233" s="98" t="str">
        <f>'изм. 31'!B205</f>
        <v>внебюджетные источники</v>
      </c>
      <c r="C233" s="106">
        <f>Лист1!I205</f>
        <v>0</v>
      </c>
      <c r="D233" s="111">
        <v>0</v>
      </c>
      <c r="E233" s="172">
        <v>0</v>
      </c>
      <c r="F233" s="108"/>
    </row>
    <row r="234" spans="1:6" ht="36.75" x14ac:dyDescent="0.25">
      <c r="A234" s="191">
        <f>'изм. 31'!A236</f>
        <v>186</v>
      </c>
      <c r="B234" s="107" t="s">
        <v>269</v>
      </c>
      <c r="C234" s="109">
        <f>C235+C236</f>
        <v>164732</v>
      </c>
      <c r="D234" s="109">
        <f>D235+D236</f>
        <v>164732</v>
      </c>
      <c r="E234" s="173">
        <f>D234/C234*100</f>
        <v>100</v>
      </c>
      <c r="F234" s="108"/>
    </row>
    <row r="235" spans="1:6" x14ac:dyDescent="0.25">
      <c r="A235" s="184">
        <f>'изм. 31'!A237</f>
        <v>187</v>
      </c>
      <c r="B235" s="98" t="str">
        <f>'изм. 31'!B209</f>
        <v>областной бюджет</v>
      </c>
      <c r="C235" s="106">
        <v>0</v>
      </c>
      <c r="D235" s="111">
        <v>0</v>
      </c>
      <c r="E235" s="173">
        <v>0</v>
      </c>
      <c r="F235" s="108"/>
    </row>
    <row r="236" spans="1:6" x14ac:dyDescent="0.25">
      <c r="A236" s="184">
        <f>'изм. 31'!A238</f>
        <v>188</v>
      </c>
      <c r="B236" s="98" t="str">
        <f>'изм. 31'!B210</f>
        <v>местный бюджет</v>
      </c>
      <c r="C236" s="106">
        <v>164732</v>
      </c>
      <c r="D236" s="111">
        <v>164732</v>
      </c>
      <c r="E236" s="173">
        <f t="shared" ref="E236" si="7">D236/C236*100</f>
        <v>100</v>
      </c>
      <c r="F236" s="108"/>
    </row>
    <row r="237" spans="1:6" ht="132.75" x14ac:dyDescent="0.25">
      <c r="A237" s="184">
        <f>'изм. 31'!A239</f>
        <v>189</v>
      </c>
      <c r="B237" s="107" t="s">
        <v>247</v>
      </c>
      <c r="C237" s="109">
        <f>C238+C239+C240</f>
        <v>190000</v>
      </c>
      <c r="D237" s="109">
        <f>D238+D239+D240</f>
        <v>190000</v>
      </c>
      <c r="E237" s="173">
        <f>D237/C237*100</f>
        <v>100</v>
      </c>
      <c r="F237" s="108"/>
    </row>
    <row r="238" spans="1:6" x14ac:dyDescent="0.25">
      <c r="A238" s="184">
        <f>'изм. 31'!A240</f>
        <v>190</v>
      </c>
      <c r="B238" s="98" t="s">
        <v>59</v>
      </c>
      <c r="C238" s="106">
        <f>Лист1!I210</f>
        <v>0</v>
      </c>
      <c r="D238" s="111">
        <v>0</v>
      </c>
      <c r="E238" s="173">
        <v>0</v>
      </c>
      <c r="F238" s="108"/>
    </row>
    <row r="239" spans="1:6" x14ac:dyDescent="0.25">
      <c r="A239" s="184">
        <f>'изм. 31'!A241</f>
        <v>191</v>
      </c>
      <c r="B239" s="98" t="s">
        <v>10</v>
      </c>
      <c r="C239" s="106">
        <v>95000</v>
      </c>
      <c r="D239" s="111">
        <v>95000</v>
      </c>
      <c r="E239" s="173">
        <f t="shared" ref="E239:E240" si="8">D239/C239*100</f>
        <v>100</v>
      </c>
      <c r="F239" s="108"/>
    </row>
    <row r="240" spans="1:6" x14ac:dyDescent="0.25">
      <c r="A240" s="184">
        <f>'изм. 31'!A242</f>
        <v>192</v>
      </c>
      <c r="B240" s="98" t="s">
        <v>11</v>
      </c>
      <c r="C240" s="106">
        <v>95000</v>
      </c>
      <c r="D240" s="111">
        <v>95000</v>
      </c>
      <c r="E240" s="173">
        <f t="shared" si="8"/>
        <v>100</v>
      </c>
      <c r="F240" s="108"/>
    </row>
    <row r="241" spans="1:8" ht="36.75" customHeight="1" x14ac:dyDescent="0.25">
      <c r="A241" s="184">
        <f>'изм. 31'!A243</f>
        <v>193</v>
      </c>
      <c r="B241" s="192" t="str">
        <f>'изм. 31'!B206</f>
        <v>ПОДПРОГРАММА 2 "РАЗВИТИЕ ОБРАЗОВАНИЯ В СФЕРЕ КУЛЬТУРЫ И ИСКУССТВА"</v>
      </c>
      <c r="C241" s="193"/>
      <c r="D241" s="193"/>
      <c r="E241" s="193"/>
      <c r="F241" s="194"/>
    </row>
    <row r="242" spans="1:8" x14ac:dyDescent="0.25">
      <c r="A242" s="184">
        <f>'изм. 31'!A244</f>
        <v>194</v>
      </c>
      <c r="B242" s="104" t="str">
        <f>'изм. 31'!B207</f>
        <v>Всего по подпрограмме, в том числе:</v>
      </c>
      <c r="C242" s="109">
        <f>C243+C244+C245+C246</f>
        <v>64801470.670000002</v>
      </c>
      <c r="D242" s="109">
        <f>D243+D244+D245+D246</f>
        <v>61959991.519999996</v>
      </c>
      <c r="E242" s="173">
        <f t="shared" si="6"/>
        <v>95.624662339398711</v>
      </c>
      <c r="F242" s="108"/>
    </row>
    <row r="243" spans="1:8" x14ac:dyDescent="0.25">
      <c r="A243" s="184">
        <f>'изм. 31'!A245</f>
        <v>195</v>
      </c>
      <c r="B243" s="98" t="str">
        <f>'изм. 31'!B208</f>
        <v>федеральный бюджет</v>
      </c>
      <c r="C243" s="106">
        <f t="shared" ref="C243:D245" si="9">C249+C267</f>
        <v>0</v>
      </c>
      <c r="D243" s="106">
        <f t="shared" si="9"/>
        <v>0</v>
      </c>
      <c r="E243" s="172">
        <v>0</v>
      </c>
      <c r="F243" s="108"/>
    </row>
    <row r="244" spans="1:8" x14ac:dyDescent="0.25">
      <c r="A244" s="184">
        <f>'изм. 31'!A246</f>
        <v>196</v>
      </c>
      <c r="B244" s="98" t="str">
        <f>'изм. 31'!B209</f>
        <v>областной бюджет</v>
      </c>
      <c r="C244" s="106">
        <f t="shared" si="9"/>
        <v>0</v>
      </c>
      <c r="D244" s="106">
        <f t="shared" si="9"/>
        <v>0</v>
      </c>
      <c r="E244" s="172">
        <v>0</v>
      </c>
      <c r="F244" s="108"/>
    </row>
    <row r="245" spans="1:8" x14ac:dyDescent="0.25">
      <c r="A245" s="184">
        <f>'изм. 31'!A247</f>
        <v>197</v>
      </c>
      <c r="B245" s="98" t="str">
        <f>'изм. 31'!B210</f>
        <v>местный бюджет</v>
      </c>
      <c r="C245" s="106">
        <f t="shared" si="9"/>
        <v>58256822</v>
      </c>
      <c r="D245" s="106">
        <f t="shared" si="9"/>
        <v>57285727.009999998</v>
      </c>
      <c r="E245" s="172">
        <f t="shared" si="6"/>
        <v>98.342912668152394</v>
      </c>
      <c r="F245" s="108"/>
      <c r="H245" s="146"/>
    </row>
    <row r="246" spans="1:8" x14ac:dyDescent="0.25">
      <c r="A246" s="184">
        <f>'изм. 31'!A248</f>
        <v>198</v>
      </c>
      <c r="B246" s="98" t="str">
        <f>'изм. 31'!B211</f>
        <v>внебюджетные источники</v>
      </c>
      <c r="C246" s="106">
        <f>C265+C270</f>
        <v>6544648.6699999999</v>
      </c>
      <c r="D246" s="106">
        <f>D265+D270</f>
        <v>4674264.51</v>
      </c>
      <c r="E246" s="172">
        <f t="shared" si="6"/>
        <v>71.428309939378309</v>
      </c>
      <c r="F246" s="108"/>
    </row>
    <row r="247" spans="1:8" x14ac:dyDescent="0.25">
      <c r="A247" s="184">
        <f>'изм. 31'!A249</f>
        <v>199</v>
      </c>
      <c r="B247" s="104" t="str">
        <f>'изм. 31'!B212</f>
        <v>1.      Капитальные вложения</v>
      </c>
      <c r="C247" s="109">
        <f>Лист1!I217</f>
        <v>0</v>
      </c>
      <c r="D247" s="111"/>
      <c r="E247" s="172"/>
      <c r="F247" s="108"/>
    </row>
    <row r="248" spans="1:8" ht="24.75" x14ac:dyDescent="0.25">
      <c r="A248" s="184">
        <f>'изм. 31'!A250</f>
        <v>200</v>
      </c>
      <c r="B248" s="98" t="str">
        <f>'изм. 31'!B213</f>
        <v xml:space="preserve"> Всего по направлению «Капитальные вложения», в том числе:</v>
      </c>
      <c r="C248" s="109">
        <f>Лист1!I218</f>
        <v>0</v>
      </c>
      <c r="D248" s="110">
        <v>0</v>
      </c>
      <c r="E248" s="173">
        <v>0</v>
      </c>
      <c r="F248" s="108"/>
    </row>
    <row r="249" spans="1:8" x14ac:dyDescent="0.25">
      <c r="A249" s="184">
        <f>'изм. 31'!A251</f>
        <v>201</v>
      </c>
      <c r="B249" s="98" t="str">
        <f>'изм. 31'!B214</f>
        <v>федеральный бюджет</v>
      </c>
      <c r="C249" s="106">
        <f>Лист1!I219</f>
        <v>0</v>
      </c>
      <c r="D249" s="111">
        <v>0</v>
      </c>
      <c r="E249" s="172">
        <v>0</v>
      </c>
      <c r="F249" s="108"/>
    </row>
    <row r="250" spans="1:8" x14ac:dyDescent="0.25">
      <c r="A250" s="184">
        <f>'изм. 31'!A252</f>
        <v>202</v>
      </c>
      <c r="B250" s="98" t="str">
        <f>'изм. 31'!B215</f>
        <v>областной бюджет</v>
      </c>
      <c r="C250" s="106">
        <f>Лист1!I220</f>
        <v>0</v>
      </c>
      <c r="D250" s="111">
        <v>0</v>
      </c>
      <c r="E250" s="172">
        <v>0</v>
      </c>
      <c r="F250" s="108"/>
    </row>
    <row r="251" spans="1:8" x14ac:dyDescent="0.25">
      <c r="A251" s="184">
        <f>'изм. 31'!A253</f>
        <v>203</v>
      </c>
      <c r="B251" s="98" t="str">
        <f>'изм. 31'!B216</f>
        <v>местный бюджет</v>
      </c>
      <c r="C251" s="106">
        <f>Лист1!I221</f>
        <v>0</v>
      </c>
      <c r="D251" s="111">
        <v>0</v>
      </c>
      <c r="E251" s="172">
        <v>0</v>
      </c>
      <c r="F251" s="108"/>
    </row>
    <row r="252" spans="1:8" x14ac:dyDescent="0.25">
      <c r="A252" s="184">
        <f>'изм. 31'!A254</f>
        <v>204</v>
      </c>
      <c r="B252" s="98" t="str">
        <f>'изм. 31'!B217</f>
        <v>внебюджетные источники</v>
      </c>
      <c r="C252" s="106">
        <f>Лист1!I222</f>
        <v>0</v>
      </c>
      <c r="D252" s="111">
        <v>0</v>
      </c>
      <c r="E252" s="172">
        <v>0</v>
      </c>
      <c r="F252" s="108"/>
    </row>
    <row r="253" spans="1:8" ht="24.75" hidden="1" x14ac:dyDescent="0.25">
      <c r="A253" s="184">
        <f>'изм. 31'!A255</f>
        <v>205</v>
      </c>
      <c r="B253" s="105" t="str">
        <f>'изм. 31'!B218</f>
        <v>1.1. Бюджетные инвестиции в объекты капитального строительства</v>
      </c>
      <c r="C253" s="106">
        <f>Лист1!I223</f>
        <v>0</v>
      </c>
      <c r="D253" s="111">
        <v>0</v>
      </c>
      <c r="E253" s="172"/>
      <c r="F253" s="108"/>
    </row>
    <row r="254" spans="1:8" ht="24.75" hidden="1" x14ac:dyDescent="0.25">
      <c r="A254" s="184">
        <f>'изм. 31'!A256</f>
        <v>206</v>
      </c>
      <c r="B254" s="98" t="str">
        <f>'изм. 31'!B219</f>
        <v>Бюджетные инвестиции в объекты капитального строительства, всего, в том числе</v>
      </c>
      <c r="C254" s="106">
        <f>Лист1!I224</f>
        <v>0</v>
      </c>
      <c r="D254" s="111">
        <v>0</v>
      </c>
      <c r="E254" s="172">
        <v>0</v>
      </c>
      <c r="F254" s="108"/>
    </row>
    <row r="255" spans="1:8" hidden="1" x14ac:dyDescent="0.25">
      <c r="A255" s="184">
        <f>'изм. 31'!A257</f>
        <v>207</v>
      </c>
      <c r="B255" s="98" t="str">
        <f>'изм. 31'!B220</f>
        <v>федеральный бюджет</v>
      </c>
      <c r="C255" s="106">
        <f>Лист1!I225</f>
        <v>0</v>
      </c>
      <c r="D255" s="111">
        <v>0</v>
      </c>
      <c r="E255" s="172">
        <v>0</v>
      </c>
      <c r="F255" s="108"/>
    </row>
    <row r="256" spans="1:8" hidden="1" x14ac:dyDescent="0.25">
      <c r="A256" s="184">
        <f>'изм. 31'!A258</f>
        <v>208</v>
      </c>
      <c r="B256" s="98" t="str">
        <f>'изм. 31'!B221</f>
        <v>областной бюджет</v>
      </c>
      <c r="C256" s="106">
        <f>Лист1!I226</f>
        <v>0</v>
      </c>
      <c r="D256" s="111">
        <v>0</v>
      </c>
      <c r="E256" s="172">
        <v>0</v>
      </c>
      <c r="F256" s="108"/>
    </row>
    <row r="257" spans="1:6" hidden="1" x14ac:dyDescent="0.25">
      <c r="A257" s="184">
        <f>'изм. 31'!A259</f>
        <v>209</v>
      </c>
      <c r="B257" s="98" t="str">
        <f>'изм. 31'!B222</f>
        <v>местный бюджет</v>
      </c>
      <c r="C257" s="106">
        <f>Лист1!I227</f>
        <v>0</v>
      </c>
      <c r="D257" s="111">
        <v>0</v>
      </c>
      <c r="E257" s="172">
        <v>0</v>
      </c>
      <c r="F257" s="108"/>
    </row>
    <row r="258" spans="1:6" hidden="1" x14ac:dyDescent="0.25">
      <c r="A258" s="184">
        <f>'изм. 31'!A260</f>
        <v>210</v>
      </c>
      <c r="B258" s="98" t="str">
        <f>'изм. 31'!B223</f>
        <v>внебюджетные источники</v>
      </c>
      <c r="C258" s="106">
        <f>Лист1!I228</f>
        <v>0</v>
      </c>
      <c r="D258" s="111">
        <v>0</v>
      </c>
      <c r="E258" s="172">
        <v>0</v>
      </c>
      <c r="F258" s="108"/>
    </row>
    <row r="259" spans="1:6" hidden="1" x14ac:dyDescent="0.25">
      <c r="A259" s="184">
        <f>'изм. 31'!A261</f>
        <v>211</v>
      </c>
      <c r="B259" s="105" t="str">
        <f>'изм. 31'!B224</f>
        <v>1.2. Иные капитальные вложения</v>
      </c>
      <c r="C259" s="106">
        <f>Лист1!I229</f>
        <v>0</v>
      </c>
      <c r="D259" s="111">
        <v>0</v>
      </c>
      <c r="E259" s="172">
        <v>0</v>
      </c>
      <c r="F259" s="108"/>
    </row>
    <row r="260" spans="1:6" hidden="1" x14ac:dyDescent="0.25">
      <c r="A260" s="184">
        <f>'изм. 31'!A262</f>
        <v>212</v>
      </c>
      <c r="B260" s="98" t="str">
        <f>'изм. 31'!B225</f>
        <v>Иные капитальные вложения, всего, в том числе</v>
      </c>
      <c r="C260" s="106">
        <f>Лист1!I230</f>
        <v>0</v>
      </c>
      <c r="D260" s="111">
        <v>0</v>
      </c>
      <c r="E260" s="172">
        <v>0</v>
      </c>
      <c r="F260" s="108"/>
    </row>
    <row r="261" spans="1:6" hidden="1" x14ac:dyDescent="0.25">
      <c r="A261" s="184">
        <f>'изм. 31'!A263</f>
        <v>213</v>
      </c>
      <c r="B261" s="98" t="str">
        <f>'изм. 31'!B226</f>
        <v>федеральный бюджет</v>
      </c>
      <c r="C261" s="106">
        <f>Лист1!I231</f>
        <v>0</v>
      </c>
      <c r="D261" s="111">
        <v>0</v>
      </c>
      <c r="E261" s="172">
        <v>0</v>
      </c>
      <c r="F261" s="108"/>
    </row>
    <row r="262" spans="1:6" hidden="1" x14ac:dyDescent="0.25">
      <c r="A262" s="184">
        <f>'изм. 31'!A264</f>
        <v>214</v>
      </c>
      <c r="B262" s="98" t="str">
        <f>'изм. 31'!B227</f>
        <v>областной бюджет</v>
      </c>
      <c r="C262" s="106">
        <f>Лист1!I232</f>
        <v>0</v>
      </c>
      <c r="D262" s="111">
        <v>0</v>
      </c>
      <c r="E262" s="172">
        <v>0</v>
      </c>
      <c r="F262" s="108"/>
    </row>
    <row r="263" spans="1:6" hidden="1" x14ac:dyDescent="0.25">
      <c r="A263" s="184">
        <f>'изм. 31'!A265</f>
        <v>215</v>
      </c>
      <c r="B263" s="98" t="str">
        <f>'изм. 31'!B228</f>
        <v>местный бюджет</v>
      </c>
      <c r="C263" s="106">
        <f>Лист1!I233</f>
        <v>0</v>
      </c>
      <c r="D263" s="111">
        <v>0</v>
      </c>
      <c r="E263" s="172">
        <v>0</v>
      </c>
      <c r="F263" s="108"/>
    </row>
    <row r="264" spans="1:6" hidden="1" x14ac:dyDescent="0.25">
      <c r="A264" s="184">
        <f>'изм. 31'!A266</f>
        <v>216</v>
      </c>
      <c r="B264" s="98" t="str">
        <f>'изм. 31'!B229</f>
        <v>внебюджетные источники</v>
      </c>
      <c r="C264" s="106">
        <f>Лист1!I234</f>
        <v>0</v>
      </c>
      <c r="D264" s="111">
        <v>0</v>
      </c>
      <c r="E264" s="172">
        <v>0</v>
      </c>
      <c r="F264" s="108"/>
    </row>
    <row r="265" spans="1:6" x14ac:dyDescent="0.25">
      <c r="A265" s="184">
        <f>'изм. 31'!A267</f>
        <v>201</v>
      </c>
      <c r="B265" s="104" t="str">
        <f>'изм. 31'!B230</f>
        <v>2. Прочие нужды</v>
      </c>
      <c r="C265" s="106">
        <f>Лист1!I235</f>
        <v>0</v>
      </c>
      <c r="D265" s="111"/>
      <c r="E265" s="172"/>
      <c r="F265" s="108"/>
    </row>
    <row r="266" spans="1:6" x14ac:dyDescent="0.25">
      <c r="A266" s="184">
        <f>'изм. 31'!A268</f>
        <v>202</v>
      </c>
      <c r="B266" s="105" t="str">
        <f>'изм. 31'!B231</f>
        <v>Всего по направлению "Прочие нужды", в том числе:</v>
      </c>
      <c r="C266" s="109">
        <f>C267+C268+C269+C270</f>
        <v>64801470.670000002</v>
      </c>
      <c r="D266" s="110">
        <f>SUM(D267:D270)</f>
        <v>61959991.519999996</v>
      </c>
      <c r="E266" s="173">
        <f t="shared" ref="E266:E316" si="10">D266/C266*100+IF(D266/C266=0,0,D266/C266/100)</f>
        <v>95.624662339398711</v>
      </c>
      <c r="F266" s="108"/>
    </row>
    <row r="267" spans="1:6" x14ac:dyDescent="0.25">
      <c r="A267" s="184">
        <f>'изм. 31'!A269</f>
        <v>203</v>
      </c>
      <c r="B267" s="98" t="str">
        <f>'изм. 31'!B232</f>
        <v>федеральный бюджет</v>
      </c>
      <c r="C267" s="106">
        <f>Лист1!I237</f>
        <v>0</v>
      </c>
      <c r="D267" s="111">
        <f>D272+D282+D303+D320+D325+D330</f>
        <v>0</v>
      </c>
      <c r="E267" s="172">
        <v>0</v>
      </c>
      <c r="F267" s="108"/>
    </row>
    <row r="268" spans="1:6" x14ac:dyDescent="0.25">
      <c r="A268" s="184">
        <f>'изм. 31'!A270</f>
        <v>204</v>
      </c>
      <c r="B268" s="98" t="str">
        <f>'изм. 31'!B233</f>
        <v>областной бюджет</v>
      </c>
      <c r="C268" s="106">
        <f>Лист1!I238</f>
        <v>0</v>
      </c>
      <c r="D268" s="111">
        <f>D273+D283+D304+D321+D326+D331</f>
        <v>0</v>
      </c>
      <c r="E268" s="172">
        <v>0</v>
      </c>
      <c r="F268" s="108"/>
    </row>
    <row r="269" spans="1:6" x14ac:dyDescent="0.25">
      <c r="A269" s="184">
        <f>'изм. 31'!A271</f>
        <v>205</v>
      </c>
      <c r="B269" s="98" t="str">
        <f>'изм. 31'!B234</f>
        <v>местный бюджет</v>
      </c>
      <c r="C269" s="106">
        <f>C274+C284+C305+C322+C327+C332+C337+C342</f>
        <v>58256822</v>
      </c>
      <c r="D269" s="111">
        <f>D274+D284+D305+D322+D332+D327+D342</f>
        <v>57285727.009999998</v>
      </c>
      <c r="E269" s="172">
        <f t="shared" si="10"/>
        <v>98.342912668152394</v>
      </c>
      <c r="F269" s="108"/>
    </row>
    <row r="270" spans="1:6" x14ac:dyDescent="0.25">
      <c r="A270" s="184">
        <f>'изм. 31'!A272</f>
        <v>199</v>
      </c>
      <c r="B270" s="98" t="str">
        <f>'изм. 31'!B235</f>
        <v>внебюджетные источники</v>
      </c>
      <c r="C270" s="106">
        <f>C275+C285+C306+C323+C328+C333+C338+C343</f>
        <v>6544648.6699999999</v>
      </c>
      <c r="D270" s="111">
        <f>D275+D285+D306+D323+D328+D333</f>
        <v>4674264.51</v>
      </c>
      <c r="E270" s="172">
        <f t="shared" si="10"/>
        <v>71.428309939378309</v>
      </c>
      <c r="F270" s="108"/>
    </row>
    <row r="271" spans="1:6" ht="36.75" x14ac:dyDescent="0.25">
      <c r="A271" s="184">
        <f>'изм. 31'!A273</f>
        <v>200</v>
      </c>
      <c r="B271" s="143" t="s">
        <v>248</v>
      </c>
      <c r="C271" s="109">
        <f>C272+C273+C274+C275</f>
        <v>63626101.380000003</v>
      </c>
      <c r="D271" s="109">
        <f>D272+D273+D274+D275</f>
        <v>61090683.109999999</v>
      </c>
      <c r="E271" s="179">
        <f t="shared" si="10"/>
        <v>96.024730186463927</v>
      </c>
      <c r="F271" s="108"/>
    </row>
    <row r="272" spans="1:6" x14ac:dyDescent="0.25">
      <c r="A272" s="184">
        <f>'изм. 31'!A274</f>
        <v>0</v>
      </c>
      <c r="B272" s="144" t="str">
        <f>'изм. 31'!B237</f>
        <v>федеральный бюджет</v>
      </c>
      <c r="C272" s="106">
        <f>Лист1!I242</f>
        <v>0</v>
      </c>
      <c r="D272" s="111">
        <v>0</v>
      </c>
      <c r="E272" s="180">
        <v>0</v>
      </c>
      <c r="F272" s="108"/>
    </row>
    <row r="273" spans="1:6" x14ac:dyDescent="0.25">
      <c r="A273" s="184">
        <f>'изм. 31'!A275</f>
        <v>0</v>
      </c>
      <c r="B273" s="144" t="str">
        <f>'изм. 31'!B238</f>
        <v>областной бюджет</v>
      </c>
      <c r="C273" s="106">
        <f>Лист1!I243</f>
        <v>0</v>
      </c>
      <c r="D273" s="111">
        <v>0</v>
      </c>
      <c r="E273" s="180">
        <v>0</v>
      </c>
      <c r="F273" s="108"/>
    </row>
    <row r="274" spans="1:6" x14ac:dyDescent="0.25">
      <c r="A274" s="184">
        <f>'изм. 31'!A276</f>
        <v>0</v>
      </c>
      <c r="B274" s="144" t="str">
        <f>'изм. 31'!B239</f>
        <v>местный бюджет</v>
      </c>
      <c r="C274" s="106">
        <v>58256822</v>
      </c>
      <c r="D274" s="111">
        <v>57285727.009999998</v>
      </c>
      <c r="E274" s="180">
        <f>D274/C274*100+IF(D274/C274=0,0,D274/C274/100)</f>
        <v>98.342912668152394</v>
      </c>
      <c r="F274" s="108"/>
    </row>
    <row r="275" spans="1:6" x14ac:dyDescent="0.25">
      <c r="A275" s="184">
        <f>'изм. 31'!A277</f>
        <v>0</v>
      </c>
      <c r="B275" s="144" t="str">
        <f>'изм. 31'!B240</f>
        <v>внебюджетные источники</v>
      </c>
      <c r="C275" s="106">
        <v>5369279.3799999999</v>
      </c>
      <c r="D275" s="111">
        <v>3804956.1</v>
      </c>
      <c r="E275" s="180">
        <f t="shared" si="10"/>
        <v>70.872389501363585</v>
      </c>
      <c r="F275" s="108"/>
    </row>
    <row r="276" spans="1:6" ht="60.75" hidden="1" x14ac:dyDescent="0.25">
      <c r="A276" s="184">
        <f>'изм. 31'!A278</f>
        <v>0</v>
      </c>
      <c r="B276" s="107" t="str">
        <f>'изм. 31'!B241</f>
        <v>Мероприятие 14.1.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v>
      </c>
      <c r="C276" s="109">
        <f>Лист1!I246</f>
        <v>0</v>
      </c>
      <c r="D276" s="178">
        <v>0</v>
      </c>
      <c r="E276" s="173">
        <v>0</v>
      </c>
      <c r="F276" s="108"/>
    </row>
    <row r="277" spans="1:6" hidden="1" x14ac:dyDescent="0.25">
      <c r="A277" s="184">
        <f>'изм. 31'!A279</f>
        <v>0</v>
      </c>
      <c r="B277" s="98" t="str">
        <f>'изм. 31'!B242</f>
        <v>федеральный бюджет</v>
      </c>
      <c r="C277" s="109">
        <f>Лист1!I247</f>
        <v>0</v>
      </c>
      <c r="D277" s="177">
        <v>0</v>
      </c>
      <c r="E277" s="172">
        <v>0</v>
      </c>
      <c r="F277" s="108"/>
    </row>
    <row r="278" spans="1:6" hidden="1" x14ac:dyDescent="0.25">
      <c r="A278" s="184">
        <f>'изм. 31'!A280</f>
        <v>0</v>
      </c>
      <c r="B278" s="98" t="str">
        <f>'изм. 31'!B243</f>
        <v>областной бюджет</v>
      </c>
      <c r="C278" s="109">
        <f>Лист1!I248</f>
        <v>0</v>
      </c>
      <c r="D278" s="177">
        <v>0</v>
      </c>
      <c r="E278" s="172">
        <v>0</v>
      </c>
      <c r="F278" s="108"/>
    </row>
    <row r="279" spans="1:6" hidden="1" x14ac:dyDescent="0.25">
      <c r="A279" s="184">
        <f>'изм. 31'!A281</f>
        <v>0</v>
      </c>
      <c r="B279" s="98" t="str">
        <f>'изм. 31'!B244</f>
        <v>местный бюджет</v>
      </c>
      <c r="C279" s="109">
        <f>Лист1!I249</f>
        <v>0</v>
      </c>
      <c r="D279" s="177">
        <v>0</v>
      </c>
      <c r="E279" s="172">
        <v>0</v>
      </c>
      <c r="F279" s="108"/>
    </row>
    <row r="280" spans="1:6" hidden="1" x14ac:dyDescent="0.25">
      <c r="A280" s="184">
        <f>'изм. 31'!A282</f>
        <v>0</v>
      </c>
      <c r="B280" s="98" t="str">
        <f>'изм. 31'!B245</f>
        <v>внебюджетные источники</v>
      </c>
      <c r="C280" s="109">
        <f>Лист1!I250</f>
        <v>0</v>
      </c>
      <c r="D280" s="177"/>
      <c r="E280" s="172">
        <v>0</v>
      </c>
      <c r="F280" s="108"/>
    </row>
    <row r="281" spans="1:6" ht="48.75" x14ac:dyDescent="0.25">
      <c r="A281" s="184">
        <f>'изм. 31'!A283</f>
        <v>0</v>
      </c>
      <c r="B281" s="107" t="s">
        <v>249</v>
      </c>
      <c r="C281" s="109">
        <f>C282+C283+C284+C285</f>
        <v>0</v>
      </c>
      <c r="D281" s="110">
        <f>SUM(D282:D285)</f>
        <v>0</v>
      </c>
      <c r="E281" s="173">
        <v>0</v>
      </c>
      <c r="F281" s="108"/>
    </row>
    <row r="282" spans="1:6" x14ac:dyDescent="0.25">
      <c r="A282" s="184">
        <f>'изм. 31'!A284</f>
        <v>206</v>
      </c>
      <c r="B282" s="98" t="str">
        <f>'изм. 31'!B247</f>
        <v>федеральный бюджет</v>
      </c>
      <c r="C282" s="106">
        <f>Лист1!I252</f>
        <v>0</v>
      </c>
      <c r="D282" s="111">
        <v>0</v>
      </c>
      <c r="E282" s="172">
        <v>0</v>
      </c>
      <c r="F282" s="108"/>
    </row>
    <row r="283" spans="1:6" x14ac:dyDescent="0.25">
      <c r="A283" s="184">
        <f>'изм. 31'!A285</f>
        <v>207</v>
      </c>
      <c r="B283" s="98" t="str">
        <f>'изм. 31'!B248</f>
        <v>областной бюджет</v>
      </c>
      <c r="C283" s="106">
        <f>Лист1!I253</f>
        <v>0</v>
      </c>
      <c r="D283" s="111">
        <v>0</v>
      </c>
      <c r="E283" s="172">
        <v>0</v>
      </c>
      <c r="F283" s="108"/>
    </row>
    <row r="284" spans="1:6" x14ac:dyDescent="0.25">
      <c r="A284" s="184">
        <f>'изм. 31'!A286</f>
        <v>208</v>
      </c>
      <c r="B284" s="98" t="str">
        <f>'изм. 31'!B249</f>
        <v>местный бюджет</v>
      </c>
      <c r="C284" s="106">
        <v>0</v>
      </c>
      <c r="D284" s="111">
        <v>0</v>
      </c>
      <c r="E284" s="172">
        <v>0</v>
      </c>
      <c r="F284" s="108"/>
    </row>
    <row r="285" spans="1:6" x14ac:dyDescent="0.25">
      <c r="A285" s="184">
        <f>'изм. 31'!A287</f>
        <v>209</v>
      </c>
      <c r="B285" s="98" t="str">
        <f>'изм. 31'!B250</f>
        <v>внебюджетные источники</v>
      </c>
      <c r="C285" s="106">
        <v>0</v>
      </c>
      <c r="D285" s="111">
        <v>0</v>
      </c>
      <c r="E285" s="172">
        <v>0</v>
      </c>
      <c r="F285" s="108"/>
    </row>
    <row r="286" spans="1:6" ht="48.75" hidden="1" x14ac:dyDescent="0.25">
      <c r="A286" s="184">
        <f>'изм. 31'!A288</f>
        <v>210</v>
      </c>
      <c r="B286" s="98" t="str">
        <f>'изм. 31'!B251</f>
        <v>Мероприятие 8.1. Субсидии на организацию выставки детского творчества детских школ искусств Горнозаводского управленческого округа «Мой город» (Кушвинская художественная школа)</v>
      </c>
      <c r="C286" s="109">
        <f>Лист1!I256</f>
        <v>0</v>
      </c>
      <c r="D286" s="177"/>
      <c r="E286" s="172" t="e">
        <f t="shared" si="10"/>
        <v>#DIV/0!</v>
      </c>
      <c r="F286" s="108"/>
    </row>
    <row r="287" spans="1:6" hidden="1" x14ac:dyDescent="0.25">
      <c r="A287" s="184">
        <f>'изм. 31'!A289</f>
        <v>211</v>
      </c>
      <c r="B287" s="98" t="str">
        <f>'изм. 31'!B252</f>
        <v>областной бюджет</v>
      </c>
      <c r="C287" s="109">
        <f>Лист1!I257</f>
        <v>0</v>
      </c>
      <c r="D287" s="177"/>
      <c r="E287" s="172">
        <v>0</v>
      </c>
      <c r="F287" s="108"/>
    </row>
    <row r="288" spans="1:6" hidden="1" x14ac:dyDescent="0.25">
      <c r="A288" s="184">
        <f>'изм. 31'!A290</f>
        <v>212</v>
      </c>
      <c r="B288" s="98" t="str">
        <f>'изм. 31'!B253</f>
        <v>местный бюджет</v>
      </c>
      <c r="C288" s="109">
        <f>Лист1!I258</f>
        <v>0</v>
      </c>
      <c r="D288" s="177"/>
      <c r="E288" s="172" t="e">
        <f t="shared" si="10"/>
        <v>#DIV/0!</v>
      </c>
      <c r="F288" s="108"/>
    </row>
    <row r="289" spans="1:6" hidden="1" x14ac:dyDescent="0.25">
      <c r="A289" s="184">
        <f>'изм. 31'!A291</f>
        <v>213</v>
      </c>
      <c r="B289" s="98" t="str">
        <f>'изм. 31'!B254</f>
        <v>внебюджетные источники</v>
      </c>
      <c r="C289" s="109">
        <f>Лист1!I259</f>
        <v>0</v>
      </c>
      <c r="D289" s="177"/>
      <c r="E289" s="172" t="e">
        <f t="shared" si="10"/>
        <v>#DIV/0!</v>
      </c>
      <c r="F289" s="108"/>
    </row>
    <row r="290" spans="1:6" ht="24.75" hidden="1" x14ac:dyDescent="0.25">
      <c r="A290" s="184">
        <f>'изм. 31'!A292</f>
        <v>214</v>
      </c>
      <c r="B290" s="98" t="str">
        <f>'изм. 31'!B255</f>
        <v xml:space="preserve"> Мероприятие 8.2. Субсидии на организацию областной выставки-конкурса детского творчества</v>
      </c>
      <c r="C290" s="109">
        <f>Лист1!I260</f>
        <v>0</v>
      </c>
      <c r="D290" s="177"/>
      <c r="E290" s="172" t="e">
        <f t="shared" si="10"/>
        <v>#DIV/0!</v>
      </c>
      <c r="F290" s="108"/>
    </row>
    <row r="291" spans="1:6" hidden="1" x14ac:dyDescent="0.25">
      <c r="A291" s="184">
        <f>'изм. 31'!A293</f>
        <v>215</v>
      </c>
      <c r="B291" s="98" t="str">
        <f>'изм. 31'!B256</f>
        <v>областной бюджет</v>
      </c>
      <c r="C291" s="109">
        <f>Лист1!I261</f>
        <v>0</v>
      </c>
      <c r="D291" s="177"/>
      <c r="E291" s="172">
        <v>0</v>
      </c>
      <c r="F291" s="108"/>
    </row>
    <row r="292" spans="1:6" hidden="1" x14ac:dyDescent="0.25">
      <c r="A292" s="184">
        <f>'изм. 31'!A294</f>
        <v>216</v>
      </c>
      <c r="B292" s="98" t="str">
        <f>'изм. 31'!B257</f>
        <v>местный бюджет</v>
      </c>
      <c r="C292" s="109">
        <f>Лист1!I262</f>
        <v>0</v>
      </c>
      <c r="D292" s="177"/>
      <c r="E292" s="172" t="e">
        <f t="shared" si="10"/>
        <v>#DIV/0!</v>
      </c>
      <c r="F292" s="108"/>
    </row>
    <row r="293" spans="1:6" hidden="1" x14ac:dyDescent="0.25">
      <c r="A293" s="184">
        <f>'изм. 31'!A295</f>
        <v>217</v>
      </c>
      <c r="B293" s="98" t="str">
        <f>'изм. 31'!B258</f>
        <v>внебюджетные источники</v>
      </c>
      <c r="C293" s="109">
        <f>Лист1!I263</f>
        <v>0</v>
      </c>
      <c r="D293" s="177"/>
      <c r="E293" s="172" t="e">
        <f t="shared" si="10"/>
        <v>#DIV/0!</v>
      </c>
      <c r="F293" s="108"/>
    </row>
    <row r="294" spans="1:6" ht="36.75" hidden="1" x14ac:dyDescent="0.25">
      <c r="A294" s="184">
        <f>'изм. 31'!A296</f>
        <v>218</v>
      </c>
      <c r="B294" s="98" t="str">
        <f>'изм. 31'!B259</f>
        <v xml:space="preserve"> Мероприятие 8.3.Субсидии на организацию областного фестиваля-конкурса юных музыкантов «Таланты горы Благодать»</v>
      </c>
      <c r="C294" s="109">
        <f>Лист1!I264</f>
        <v>0</v>
      </c>
      <c r="D294" s="177"/>
      <c r="E294" s="172" t="e">
        <f t="shared" si="10"/>
        <v>#DIV/0!</v>
      </c>
      <c r="F294" s="108"/>
    </row>
    <row r="295" spans="1:6" hidden="1" x14ac:dyDescent="0.25">
      <c r="A295" s="184">
        <f>'изм. 31'!A297</f>
        <v>219</v>
      </c>
      <c r="B295" s="98" t="str">
        <f>'изм. 31'!B260</f>
        <v>областной бюджет</v>
      </c>
      <c r="C295" s="109">
        <f>Лист1!I265</f>
        <v>0</v>
      </c>
      <c r="D295" s="177"/>
      <c r="E295" s="172">
        <v>0</v>
      </c>
      <c r="F295" s="108"/>
    </row>
    <row r="296" spans="1:6" hidden="1" x14ac:dyDescent="0.25">
      <c r="A296" s="184">
        <f>'изм. 31'!A298</f>
        <v>220</v>
      </c>
      <c r="B296" s="98" t="str">
        <f>'изм. 31'!B261</f>
        <v>местный бюджет</v>
      </c>
      <c r="C296" s="109">
        <f>Лист1!I266</f>
        <v>0</v>
      </c>
      <c r="D296" s="177"/>
      <c r="E296" s="172" t="e">
        <f t="shared" si="10"/>
        <v>#DIV/0!</v>
      </c>
      <c r="F296" s="108"/>
    </row>
    <row r="297" spans="1:6" hidden="1" x14ac:dyDescent="0.25">
      <c r="A297" s="184">
        <f>'изм. 31'!A299</f>
        <v>221</v>
      </c>
      <c r="B297" s="98" t="str">
        <f>'изм. 31'!B262</f>
        <v>внебюджетные источники</v>
      </c>
      <c r="C297" s="109">
        <f>Лист1!I267</f>
        <v>0</v>
      </c>
      <c r="D297" s="177"/>
      <c r="E297" s="172" t="e">
        <f t="shared" si="10"/>
        <v>#DIV/0!</v>
      </c>
      <c r="F297" s="108"/>
    </row>
    <row r="298" spans="1:6" ht="48.75" hidden="1" x14ac:dyDescent="0.25">
      <c r="A298" s="184">
        <f>'изм. 31'!A300</f>
        <v>222</v>
      </c>
      <c r="B298" s="98" t="str">
        <f>'изм. 31'!B263</f>
        <v>Мероприятие 8.4. Субсидии на организацию областного фестиваля-конкурса ансамблей и оркестров народных инструментов «Андреевские встречи»</v>
      </c>
      <c r="C298" s="109">
        <f>Лист1!I268</f>
        <v>0</v>
      </c>
      <c r="D298" s="177"/>
      <c r="E298" s="172">
        <v>0</v>
      </c>
      <c r="F298" s="108"/>
    </row>
    <row r="299" spans="1:6" hidden="1" x14ac:dyDescent="0.25">
      <c r="A299" s="184">
        <f>'изм. 31'!A301</f>
        <v>223</v>
      </c>
      <c r="B299" s="98" t="str">
        <f>'изм. 31'!B264</f>
        <v>областной бюджет</v>
      </c>
      <c r="C299" s="109">
        <f>Лист1!I269</f>
        <v>0</v>
      </c>
      <c r="D299" s="177"/>
      <c r="E299" s="172">
        <v>0</v>
      </c>
      <c r="F299" s="108"/>
    </row>
    <row r="300" spans="1:6" hidden="1" x14ac:dyDescent="0.25">
      <c r="A300" s="184">
        <f>'изм. 31'!A302</f>
        <v>224</v>
      </c>
      <c r="B300" s="98" t="str">
        <f>'изм. 31'!B265</f>
        <v>местный бюджет</v>
      </c>
      <c r="C300" s="109">
        <f>Лист1!I270</f>
        <v>0</v>
      </c>
      <c r="D300" s="177"/>
      <c r="E300" s="172">
        <v>0</v>
      </c>
      <c r="F300" s="108"/>
    </row>
    <row r="301" spans="1:6" hidden="1" x14ac:dyDescent="0.25">
      <c r="A301" s="184">
        <f>'изм. 31'!A303</f>
        <v>225</v>
      </c>
      <c r="B301" s="98" t="str">
        <f>'изм. 31'!B266</f>
        <v>внебюджетные источники</v>
      </c>
      <c r="C301" s="109">
        <f>Лист1!I271</f>
        <v>0</v>
      </c>
      <c r="D301" s="177"/>
      <c r="E301" s="172">
        <v>0</v>
      </c>
      <c r="F301" s="108"/>
    </row>
    <row r="302" spans="1:6" ht="48.75" x14ac:dyDescent="0.25">
      <c r="A302" s="184">
        <f>'изм. 31'!A304</f>
        <v>226</v>
      </c>
      <c r="B302" s="107" t="s">
        <v>250</v>
      </c>
      <c r="C302" s="109">
        <f>C303+C304+C305+C306</f>
        <v>290007.44</v>
      </c>
      <c r="D302" s="109">
        <f>D303+D304+D305+D306</f>
        <v>230530.66</v>
      </c>
      <c r="E302" s="173">
        <f>D302/C302*100+IF(D302/C302=0,0,D302/C302/100)</f>
        <v>79.499240800856697</v>
      </c>
      <c r="F302" s="108"/>
    </row>
    <row r="303" spans="1:6" x14ac:dyDescent="0.25">
      <c r="A303" s="184">
        <f>'изм. 31'!A305</f>
        <v>227</v>
      </c>
      <c r="B303" s="98" t="str">
        <f>'изм. 31'!B268</f>
        <v>федеральный бюджет</v>
      </c>
      <c r="C303" s="106">
        <f>Лист1!I273</f>
        <v>0</v>
      </c>
      <c r="D303" s="111">
        <v>0</v>
      </c>
      <c r="E303" s="172">
        <v>0</v>
      </c>
      <c r="F303" s="108"/>
    </row>
    <row r="304" spans="1:6" x14ac:dyDescent="0.25">
      <c r="A304" s="184">
        <f>'изм. 31'!A306</f>
        <v>228</v>
      </c>
      <c r="B304" s="98" t="str">
        <f>'изм. 31'!B269</f>
        <v>областной бюджет</v>
      </c>
      <c r="C304" s="106">
        <f>Лист1!I274</f>
        <v>0</v>
      </c>
      <c r="D304" s="111">
        <v>0</v>
      </c>
      <c r="E304" s="172">
        <v>0</v>
      </c>
      <c r="F304" s="108"/>
    </row>
    <row r="305" spans="1:6" x14ac:dyDescent="0.25">
      <c r="A305" s="184">
        <f>'изм. 31'!A307</f>
        <v>229</v>
      </c>
      <c r="B305" s="98" t="str">
        <f>'изм. 31'!B270</f>
        <v>местный бюджет</v>
      </c>
      <c r="C305" s="106">
        <f>Лист1!I275</f>
        <v>0</v>
      </c>
      <c r="D305" s="111">
        <v>0</v>
      </c>
      <c r="E305" s="172">
        <v>0</v>
      </c>
      <c r="F305" s="108"/>
    </row>
    <row r="306" spans="1:6" x14ac:dyDescent="0.25">
      <c r="A306" s="184">
        <f>'изм. 31'!A308</f>
        <v>230</v>
      </c>
      <c r="B306" s="98" t="str">
        <f>'изм. 31'!B271</f>
        <v>внебюджетные источники</v>
      </c>
      <c r="C306" s="106">
        <v>290007.44</v>
      </c>
      <c r="D306" s="111">
        <v>230530.66</v>
      </c>
      <c r="E306" s="172">
        <f>D306/C306*100+IF(D306/C306=0,0,D306/C306/100)</f>
        <v>79.499240800856697</v>
      </c>
      <c r="F306" s="108"/>
    </row>
    <row r="307" spans="1:6" ht="84.75" hidden="1" x14ac:dyDescent="0.25">
      <c r="A307" s="184">
        <f>'изм. 31'!A309</f>
        <v>231</v>
      </c>
      <c r="B307" s="98" t="str">
        <f>'изм. 31'!B272</f>
        <v>Мероприятие 10.1.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«Кушвинская детская музыкальная школа», расположенного по адресу: г.Кушва, ул. Луначарского, 5.</v>
      </c>
      <c r="C307" s="109">
        <f>Лист1!I277</f>
        <v>0</v>
      </c>
      <c r="D307" s="177"/>
      <c r="E307" s="172" t="e">
        <f t="shared" si="10"/>
        <v>#DIV/0!</v>
      </c>
      <c r="F307" s="108"/>
    </row>
    <row r="308" spans="1:6" hidden="1" x14ac:dyDescent="0.25">
      <c r="A308" s="184">
        <f>'изм. 31'!A310</f>
        <v>232</v>
      </c>
      <c r="B308" s="98" t="str">
        <f>'изм. 31'!B273</f>
        <v>областной бюджет</v>
      </c>
      <c r="C308" s="109">
        <f>Лист1!I278</f>
        <v>0</v>
      </c>
      <c r="D308" s="177"/>
      <c r="E308" s="172">
        <v>0</v>
      </c>
      <c r="F308" s="108"/>
    </row>
    <row r="309" spans="1:6" hidden="1" x14ac:dyDescent="0.25">
      <c r="A309" s="184">
        <f>'изм. 31'!A311</f>
        <v>233</v>
      </c>
      <c r="B309" s="98" t="str">
        <f>'изм. 31'!B274</f>
        <v>местный бюджет</v>
      </c>
      <c r="C309" s="109">
        <f>Лист1!I279</f>
        <v>0</v>
      </c>
      <c r="D309" s="177"/>
      <c r="E309" s="172" t="e">
        <f t="shared" si="10"/>
        <v>#DIV/0!</v>
      </c>
      <c r="F309" s="108"/>
    </row>
    <row r="310" spans="1:6" hidden="1" x14ac:dyDescent="0.25">
      <c r="A310" s="184">
        <f>'изм. 31'!A312</f>
        <v>234</v>
      </c>
      <c r="B310" s="98" t="str">
        <f>'изм. 31'!B275</f>
        <v>внебюджетные источники</v>
      </c>
      <c r="C310" s="109">
        <f>Лист1!I280</f>
        <v>0</v>
      </c>
      <c r="D310" s="177"/>
      <c r="E310" s="172">
        <v>0</v>
      </c>
      <c r="F310" s="108"/>
    </row>
    <row r="311" spans="1:6" ht="84.75" hidden="1" x14ac:dyDescent="0.25">
      <c r="A311" s="184">
        <f>'изм. 31'!A313</f>
        <v>235</v>
      </c>
      <c r="B311" s="98" t="str">
        <f>'изм. 31'!B276</f>
        <v>Мероприятие 10.2.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«Кушвинской художественной школы», расположенного по адресу: г.Кушва, ул. Станционная,80.</v>
      </c>
      <c r="C311" s="109">
        <f>Лист1!I281</f>
        <v>0</v>
      </c>
      <c r="D311" s="177"/>
      <c r="E311" s="172" t="e">
        <f t="shared" si="10"/>
        <v>#DIV/0!</v>
      </c>
      <c r="F311" s="108"/>
    </row>
    <row r="312" spans="1:6" hidden="1" x14ac:dyDescent="0.25">
      <c r="A312" s="184">
        <f>'изм. 31'!A314</f>
        <v>236</v>
      </c>
      <c r="B312" s="98" t="str">
        <f>'изм. 31'!B277</f>
        <v>областной бюджет</v>
      </c>
      <c r="C312" s="109">
        <f>Лист1!I282</f>
        <v>0</v>
      </c>
      <c r="D312" s="177"/>
      <c r="E312" s="172" t="e">
        <f t="shared" si="10"/>
        <v>#DIV/0!</v>
      </c>
      <c r="F312" s="108"/>
    </row>
    <row r="313" spans="1:6" hidden="1" x14ac:dyDescent="0.25">
      <c r="A313" s="184">
        <f>'изм. 31'!A315</f>
        <v>237</v>
      </c>
      <c r="B313" s="98" t="str">
        <f>'изм. 31'!B278</f>
        <v>местный бюджет</v>
      </c>
      <c r="C313" s="109">
        <f>Лист1!I283</f>
        <v>0</v>
      </c>
      <c r="D313" s="177"/>
      <c r="E313" s="172" t="e">
        <f t="shared" si="10"/>
        <v>#DIV/0!</v>
      </c>
      <c r="F313" s="108"/>
    </row>
    <row r="314" spans="1:6" hidden="1" x14ac:dyDescent="0.25">
      <c r="A314" s="184">
        <f>'изм. 31'!A316</f>
        <v>238</v>
      </c>
      <c r="B314" s="98" t="str">
        <f>'изм. 31'!B279</f>
        <v>внебюджетные источники</v>
      </c>
      <c r="C314" s="109">
        <f>Лист1!I284</f>
        <v>0</v>
      </c>
      <c r="D314" s="177"/>
      <c r="E314" s="172" t="e">
        <f t="shared" si="10"/>
        <v>#DIV/0!</v>
      </c>
      <c r="F314" s="108"/>
    </row>
    <row r="315" spans="1:6" ht="72.75" hidden="1" x14ac:dyDescent="0.25">
      <c r="A315" s="184">
        <f>'изм. 31'!A317</f>
        <v>239</v>
      </c>
      <c r="B315" s="98" t="str">
        <f>'изм. 31'!B280</f>
        <v>Мероприятие 10.3. Субсидии на капитальный ремонт помещения муниципального бюджетного образовательного учреждения дополнительного образования Кушвинского городского округа  «Кушвинской художественной школы», расположенного по адресу: г.Кушва, ул.Кузьмина, 9.</v>
      </c>
      <c r="C315" s="109">
        <f>Лист1!I285</f>
        <v>0</v>
      </c>
      <c r="D315" s="177"/>
      <c r="E315" s="172" t="e">
        <f t="shared" si="10"/>
        <v>#DIV/0!</v>
      </c>
      <c r="F315" s="108"/>
    </row>
    <row r="316" spans="1:6" hidden="1" x14ac:dyDescent="0.25">
      <c r="A316" s="184">
        <f>'изм. 31'!A318</f>
        <v>240</v>
      </c>
      <c r="B316" s="98" t="str">
        <f>'изм. 31'!B281</f>
        <v xml:space="preserve"> областной бюджет</v>
      </c>
      <c r="C316" s="109">
        <f>Лист1!I286</f>
        <v>0</v>
      </c>
      <c r="D316" s="177"/>
      <c r="E316" s="172" t="e">
        <f t="shared" si="10"/>
        <v>#DIV/0!</v>
      </c>
      <c r="F316" s="108"/>
    </row>
    <row r="317" spans="1:6" hidden="1" x14ac:dyDescent="0.25">
      <c r="A317" s="184">
        <f>'изм. 31'!A319</f>
        <v>241</v>
      </c>
      <c r="B317" s="98" t="str">
        <f>'изм. 31'!B282</f>
        <v>местный бюджет</v>
      </c>
      <c r="C317" s="109">
        <f>Лист1!I287</f>
        <v>0</v>
      </c>
      <c r="D317" s="177"/>
      <c r="E317" s="172" t="e">
        <f t="shared" ref="E317:E318" si="11">D317/C317*100+IF(D317/C317=0,0,D317/C317/100)</f>
        <v>#DIV/0!</v>
      </c>
      <c r="F317" s="108"/>
    </row>
    <row r="318" spans="1:6" hidden="1" x14ac:dyDescent="0.25">
      <c r="A318" s="184">
        <f>'изм. 31'!A320</f>
        <v>242</v>
      </c>
      <c r="B318" s="98" t="str">
        <f>'изм. 31'!B283</f>
        <v>внебюджетные источники</v>
      </c>
      <c r="C318" s="109">
        <f>Лист1!I288</f>
        <v>0</v>
      </c>
      <c r="D318" s="177"/>
      <c r="E318" s="172" t="e">
        <f t="shared" si="11"/>
        <v>#DIV/0!</v>
      </c>
      <c r="F318" s="108"/>
    </row>
    <row r="319" spans="1:6" ht="60.75" x14ac:dyDescent="0.25">
      <c r="A319" s="184">
        <f>'изм. 31'!A321</f>
        <v>243</v>
      </c>
      <c r="B319" s="107" t="s">
        <v>251</v>
      </c>
      <c r="C319" s="109">
        <f>C320+C321+C322+C323</f>
        <v>885361.85</v>
      </c>
      <c r="D319" s="109">
        <f>D320+D321+D322+D323</f>
        <v>638777.75</v>
      </c>
      <c r="E319" s="173">
        <f>D319/C319*100+IF(D319/C319=0,0,D319/C319/100)</f>
        <v>72.155992239218349</v>
      </c>
      <c r="F319" s="108"/>
    </row>
    <row r="320" spans="1:6" x14ac:dyDescent="0.25">
      <c r="A320" s="184">
        <f>'изм. 31'!A322</f>
        <v>244</v>
      </c>
      <c r="B320" s="98" t="str">
        <f>'изм. 31'!B285</f>
        <v>федеральный бюджет</v>
      </c>
      <c r="C320" s="106">
        <f>Лист1!I290</f>
        <v>0</v>
      </c>
      <c r="D320" s="111">
        <v>0</v>
      </c>
      <c r="E320" s="172">
        <v>0</v>
      </c>
      <c r="F320" s="108"/>
    </row>
    <row r="321" spans="1:6" x14ac:dyDescent="0.25">
      <c r="A321" s="184">
        <f>'изм. 31'!A323</f>
        <v>245</v>
      </c>
      <c r="B321" s="98" t="str">
        <f>'изм. 31'!B286</f>
        <v>областной бюджет</v>
      </c>
      <c r="C321" s="106">
        <f>Лист1!I291</f>
        <v>0</v>
      </c>
      <c r="D321" s="111">
        <v>0</v>
      </c>
      <c r="E321" s="172">
        <v>0</v>
      </c>
      <c r="F321" s="108"/>
    </row>
    <row r="322" spans="1:6" x14ac:dyDescent="0.25">
      <c r="A322" s="184">
        <f>'изм. 31'!A324</f>
        <v>246</v>
      </c>
      <c r="B322" s="98" t="str">
        <f>'изм. 31'!B287</f>
        <v>местный бюджет</v>
      </c>
      <c r="C322" s="106">
        <f>Лист1!I292</f>
        <v>0</v>
      </c>
      <c r="D322" s="111">
        <v>0</v>
      </c>
      <c r="E322" s="172">
        <v>0</v>
      </c>
      <c r="F322" s="108"/>
    </row>
    <row r="323" spans="1:6" x14ac:dyDescent="0.25">
      <c r="A323" s="184">
        <f>'изм. 31'!A325</f>
        <v>247</v>
      </c>
      <c r="B323" s="98" t="str">
        <f>'изм. 31'!B288</f>
        <v>внебюджетные источники</v>
      </c>
      <c r="C323" s="106">
        <v>885361.85</v>
      </c>
      <c r="D323" s="111">
        <v>638777.75</v>
      </c>
      <c r="E323" s="172">
        <f>D323/C323*100+IF(D323/C323=0,0,D323/C323/100)</f>
        <v>72.155992239218349</v>
      </c>
      <c r="F323" s="108"/>
    </row>
    <row r="324" spans="1:6" ht="40.5" customHeight="1" x14ac:dyDescent="0.25">
      <c r="A324" s="184">
        <f>'изм. 31'!A326</f>
        <v>248</v>
      </c>
      <c r="B324" s="107" t="s">
        <v>252</v>
      </c>
      <c r="C324" s="109">
        <f>C325+C326+C327+C328</f>
        <v>0</v>
      </c>
      <c r="D324" s="109">
        <f>D325+D326+D327+D328</f>
        <v>0</v>
      </c>
      <c r="E324" s="173">
        <v>0</v>
      </c>
      <c r="F324" s="108"/>
    </row>
    <row r="325" spans="1:6" x14ac:dyDescent="0.25">
      <c r="A325" s="184">
        <f>'изм. 31'!A327</f>
        <v>249</v>
      </c>
      <c r="B325" s="98" t="str">
        <f>'изм. 31'!B290</f>
        <v>федеральный бюджет</v>
      </c>
      <c r="C325" s="106">
        <f>Лист1!I295</f>
        <v>0</v>
      </c>
      <c r="D325" s="111">
        <v>0</v>
      </c>
      <c r="E325" s="172">
        <v>0</v>
      </c>
      <c r="F325" s="108"/>
    </row>
    <row r="326" spans="1:6" x14ac:dyDescent="0.25">
      <c r="A326" s="184">
        <f>'изм. 31'!A328</f>
        <v>250</v>
      </c>
      <c r="B326" s="98" t="str">
        <f>'изм. 31'!B291</f>
        <v>областной бюджет</v>
      </c>
      <c r="C326" s="106">
        <f>Лист1!I296</f>
        <v>0</v>
      </c>
      <c r="D326" s="111">
        <v>0</v>
      </c>
      <c r="E326" s="172">
        <v>0</v>
      </c>
      <c r="F326" s="108"/>
    </row>
    <row r="327" spans="1:6" x14ac:dyDescent="0.25">
      <c r="A327" s="184">
        <f>'изм. 31'!A329</f>
        <v>251</v>
      </c>
      <c r="B327" s="98" t="str">
        <f>'изм. 31'!B292</f>
        <v>местный бюджет</v>
      </c>
      <c r="C327" s="106">
        <f>Лист1!I297</f>
        <v>0</v>
      </c>
      <c r="D327" s="111">
        <v>0</v>
      </c>
      <c r="E327" s="172">
        <v>0</v>
      </c>
      <c r="F327" s="108"/>
    </row>
    <row r="328" spans="1:6" x14ac:dyDescent="0.25">
      <c r="A328" s="184">
        <f>'изм. 31'!A330</f>
        <v>252</v>
      </c>
      <c r="B328" s="98" t="str">
        <f>'изм. 31'!B293</f>
        <v>внебюджетные источники</v>
      </c>
      <c r="C328" s="106">
        <v>0</v>
      </c>
      <c r="D328" s="111">
        <v>0</v>
      </c>
      <c r="E328" s="172">
        <v>0</v>
      </c>
      <c r="F328" s="108"/>
    </row>
    <row r="329" spans="1:6" ht="48.75" x14ac:dyDescent="0.25">
      <c r="A329" s="184">
        <f>'изм. 31'!A331</f>
        <v>253</v>
      </c>
      <c r="B329" s="107" t="s">
        <v>253</v>
      </c>
      <c r="C329" s="109">
        <f>Лист1!I299</f>
        <v>0</v>
      </c>
      <c r="D329" s="110">
        <v>0</v>
      </c>
      <c r="E329" s="173">
        <v>0</v>
      </c>
      <c r="F329" s="108"/>
    </row>
    <row r="330" spans="1:6" x14ac:dyDescent="0.25">
      <c r="A330" s="184">
        <f>'изм. 31'!A332</f>
        <v>254</v>
      </c>
      <c r="B330" s="98" t="str">
        <f>'изм. 31'!B295</f>
        <v>федеральный бюджет</v>
      </c>
      <c r="C330" s="106">
        <f>Лист1!I300</f>
        <v>0</v>
      </c>
      <c r="D330" s="111">
        <v>0</v>
      </c>
      <c r="E330" s="172">
        <v>0</v>
      </c>
      <c r="F330" s="108"/>
    </row>
    <row r="331" spans="1:6" x14ac:dyDescent="0.25">
      <c r="A331" s="184">
        <f>'изм. 31'!A333</f>
        <v>255</v>
      </c>
      <c r="B331" s="98" t="str">
        <f>'изм. 31'!B296</f>
        <v>областной бюджет</v>
      </c>
      <c r="C331" s="106">
        <f>Лист1!I301</f>
        <v>0</v>
      </c>
      <c r="D331" s="111">
        <v>0</v>
      </c>
      <c r="E331" s="172">
        <v>0</v>
      </c>
      <c r="F331" s="108"/>
    </row>
    <row r="332" spans="1:6" x14ac:dyDescent="0.25">
      <c r="A332" s="184">
        <f>'изм. 31'!A334</f>
        <v>249</v>
      </c>
      <c r="B332" s="98" t="str">
        <f>'изм. 31'!B297</f>
        <v>местный бюджет</v>
      </c>
      <c r="C332" s="106">
        <f>Лист1!I302</f>
        <v>0</v>
      </c>
      <c r="D332" s="111">
        <v>0</v>
      </c>
      <c r="E332" s="172">
        <v>0</v>
      </c>
      <c r="F332" s="108"/>
    </row>
    <row r="333" spans="1:6" x14ac:dyDescent="0.25">
      <c r="A333" s="184">
        <f>'изм. 31'!A335</f>
        <v>250</v>
      </c>
      <c r="B333" s="98" t="str">
        <f>'изм. 31'!B298</f>
        <v>внебюджетные источники</v>
      </c>
      <c r="C333" s="106">
        <f>Лист1!I303</f>
        <v>0</v>
      </c>
      <c r="D333" s="111">
        <v>0</v>
      </c>
      <c r="E333" s="172">
        <v>0</v>
      </c>
      <c r="F333" s="108"/>
    </row>
    <row r="334" spans="1:6" ht="48.75" x14ac:dyDescent="0.25">
      <c r="A334" s="184">
        <f>'изм. 31'!A336</f>
        <v>251</v>
      </c>
      <c r="B334" s="107" t="s">
        <v>254</v>
      </c>
      <c r="C334" s="106">
        <f>C335+C336+C337+C338</f>
        <v>0</v>
      </c>
      <c r="D334" s="106">
        <f>D335+D336+D337+D338</f>
        <v>0</v>
      </c>
      <c r="E334" s="172">
        <v>0</v>
      </c>
      <c r="F334" s="169"/>
    </row>
    <row r="335" spans="1:6" x14ac:dyDescent="0.25">
      <c r="A335" s="184">
        <f>'изм. 31'!A337</f>
        <v>252</v>
      </c>
      <c r="B335" s="105" t="s">
        <v>59</v>
      </c>
      <c r="C335" s="106">
        <v>0</v>
      </c>
      <c r="D335" s="111">
        <v>0</v>
      </c>
      <c r="E335" s="172">
        <v>0</v>
      </c>
      <c r="F335" s="169"/>
    </row>
    <row r="336" spans="1:6" x14ac:dyDescent="0.25">
      <c r="A336" s="184">
        <f>'изм. 31'!A338</f>
        <v>253</v>
      </c>
      <c r="B336" s="98" t="s">
        <v>10</v>
      </c>
      <c r="C336" s="106">
        <v>0</v>
      </c>
      <c r="D336" s="111">
        <v>0</v>
      </c>
      <c r="E336" s="172">
        <v>0</v>
      </c>
      <c r="F336" s="169"/>
    </row>
    <row r="337" spans="1:6" x14ac:dyDescent="0.25">
      <c r="A337" s="184">
        <f>'изм. 31'!A339</f>
        <v>254</v>
      </c>
      <c r="B337" s="98" t="s">
        <v>11</v>
      </c>
      <c r="C337" s="106">
        <v>0</v>
      </c>
      <c r="D337" s="111">
        <v>0</v>
      </c>
      <c r="E337" s="172">
        <v>0</v>
      </c>
      <c r="F337" s="169"/>
    </row>
    <row r="338" spans="1:6" x14ac:dyDescent="0.25">
      <c r="A338" s="184">
        <f>'изм. 31'!A340</f>
        <v>255</v>
      </c>
      <c r="B338" s="98" t="s">
        <v>12</v>
      </c>
      <c r="C338" s="106">
        <v>0</v>
      </c>
      <c r="D338" s="111">
        <v>0</v>
      </c>
      <c r="E338" s="172">
        <v>0</v>
      </c>
      <c r="F338" s="169"/>
    </row>
    <row r="339" spans="1:6" ht="55.5" customHeight="1" x14ac:dyDescent="0.25">
      <c r="A339" s="184">
        <f>'изм. 31'!A341</f>
        <v>256</v>
      </c>
      <c r="B339" s="170" t="s">
        <v>255</v>
      </c>
      <c r="C339" s="109">
        <f>C340+C341+C342+C343</f>
        <v>0</v>
      </c>
      <c r="D339" s="109">
        <f>D340+D341+D342+D343</f>
        <v>0</v>
      </c>
      <c r="E339" s="173">
        <v>0</v>
      </c>
      <c r="F339" s="169"/>
    </row>
    <row r="340" spans="1:6" x14ac:dyDescent="0.25">
      <c r="A340" s="184">
        <f>'изм. 31'!A342</f>
        <v>256</v>
      </c>
      <c r="B340" s="98" t="s">
        <v>59</v>
      </c>
      <c r="C340" s="106">
        <f>Лист1!I305</f>
        <v>0</v>
      </c>
      <c r="D340" s="111">
        <v>0</v>
      </c>
      <c r="E340" s="172">
        <v>0</v>
      </c>
      <c r="F340" s="169"/>
    </row>
    <row r="341" spans="1:6" x14ac:dyDescent="0.25">
      <c r="A341" s="184">
        <f>'изм. 31'!A343</f>
        <v>257</v>
      </c>
      <c r="B341" s="98" t="s">
        <v>10</v>
      </c>
      <c r="C341" s="106">
        <f>Лист1!I306</f>
        <v>0</v>
      </c>
      <c r="D341" s="111">
        <v>0</v>
      </c>
      <c r="E341" s="172">
        <v>0</v>
      </c>
      <c r="F341" s="169"/>
    </row>
    <row r="342" spans="1:6" x14ac:dyDescent="0.25">
      <c r="A342" s="184">
        <f>'изм. 31'!A344</f>
        <v>258</v>
      </c>
      <c r="B342" s="98" t="s">
        <v>11</v>
      </c>
      <c r="C342" s="106">
        <v>0</v>
      </c>
      <c r="D342" s="111">
        <v>0</v>
      </c>
      <c r="E342" s="172">
        <v>0</v>
      </c>
      <c r="F342" s="169"/>
    </row>
    <row r="343" spans="1:6" x14ac:dyDescent="0.25">
      <c r="A343" s="184">
        <f>'изм. 31'!A345</f>
        <v>259</v>
      </c>
      <c r="B343" s="98" t="s">
        <v>12</v>
      </c>
      <c r="C343" s="106">
        <f>Лист1!I308</f>
        <v>0</v>
      </c>
      <c r="D343" s="111">
        <v>0</v>
      </c>
      <c r="E343" s="172">
        <v>0</v>
      </c>
      <c r="F343" s="169"/>
    </row>
    <row r="344" spans="1:6" ht="24.75" customHeight="1" x14ac:dyDescent="0.25">
      <c r="A344" s="184">
        <f>'изм. 31'!A346</f>
        <v>260</v>
      </c>
      <c r="B344" s="192" t="str">
        <f>'изм. 31'!B299</f>
        <v>ПОДПРОГРАММА 3 "РАЗВИТИЕ ТУРИЗМА В КУШВИНСКОМ ГОРОДСКОМ ОКРУГЕ"</v>
      </c>
      <c r="C344" s="193"/>
      <c r="D344" s="193"/>
      <c r="E344" s="193"/>
      <c r="F344" s="194"/>
    </row>
    <row r="345" spans="1:6" x14ac:dyDescent="0.25">
      <c r="A345" s="184">
        <f>'изм. 31'!A347</f>
        <v>261</v>
      </c>
      <c r="B345" s="104" t="str">
        <f>'изм. 31'!B300</f>
        <v>Всего по подпрограмме, в том числе</v>
      </c>
      <c r="C345" s="109">
        <f>C346+C347+C348+C349</f>
        <v>0</v>
      </c>
      <c r="D345" s="109">
        <f>D346+D347+D348+D349</f>
        <v>0</v>
      </c>
      <c r="E345" s="173">
        <v>0</v>
      </c>
      <c r="F345" s="108"/>
    </row>
    <row r="346" spans="1:6" x14ac:dyDescent="0.25">
      <c r="A346" s="184">
        <f>'изм. 31'!A348</f>
        <v>262</v>
      </c>
      <c r="B346" s="98" t="str">
        <f>'изм. 31'!B301</f>
        <v>федеральный бюджет</v>
      </c>
      <c r="C346" s="106">
        <f t="shared" ref="C346:D349" si="12">C352+C370</f>
        <v>0</v>
      </c>
      <c r="D346" s="111">
        <f t="shared" si="12"/>
        <v>0</v>
      </c>
      <c r="E346" s="172">
        <v>0</v>
      </c>
      <c r="F346" s="108"/>
    </row>
    <row r="347" spans="1:6" x14ac:dyDescent="0.25">
      <c r="A347" s="184">
        <f>'изм. 31'!A349</f>
        <v>263</v>
      </c>
      <c r="B347" s="98" t="str">
        <f>'изм. 31'!B302</f>
        <v>областной бюджет</v>
      </c>
      <c r="C347" s="106">
        <f t="shared" si="12"/>
        <v>0</v>
      </c>
      <c r="D347" s="111">
        <f t="shared" si="12"/>
        <v>0</v>
      </c>
      <c r="E347" s="172">
        <v>0</v>
      </c>
      <c r="F347" s="108"/>
    </row>
    <row r="348" spans="1:6" x14ac:dyDescent="0.25">
      <c r="A348" s="184">
        <f>'изм. 31'!A350</f>
        <v>264</v>
      </c>
      <c r="B348" s="98" t="str">
        <f>'изм. 31'!B303</f>
        <v>местный бюджет</v>
      </c>
      <c r="C348" s="106">
        <f t="shared" si="12"/>
        <v>0</v>
      </c>
      <c r="D348" s="111">
        <f t="shared" si="12"/>
        <v>0</v>
      </c>
      <c r="E348" s="172">
        <v>0</v>
      </c>
      <c r="F348" s="108"/>
    </row>
    <row r="349" spans="1:6" x14ac:dyDescent="0.25">
      <c r="A349" s="184">
        <f>'изм. 31'!A351</f>
        <v>265</v>
      </c>
      <c r="B349" s="98" t="str">
        <f>'изм. 31'!B304</f>
        <v>внебюджетные источники</v>
      </c>
      <c r="C349" s="106">
        <f t="shared" si="12"/>
        <v>0</v>
      </c>
      <c r="D349" s="111">
        <f t="shared" si="12"/>
        <v>0</v>
      </c>
      <c r="E349" s="172">
        <v>0</v>
      </c>
      <c r="F349" s="108"/>
    </row>
    <row r="350" spans="1:6" x14ac:dyDescent="0.25">
      <c r="A350" s="184">
        <f>'изм. 31'!A352</f>
        <v>266</v>
      </c>
      <c r="B350" s="104" t="str">
        <f>'изм. 31'!B305</f>
        <v>1.      Капитальные вложения</v>
      </c>
      <c r="C350" s="106"/>
      <c r="D350" s="111"/>
      <c r="E350" s="172"/>
      <c r="F350" s="108"/>
    </row>
    <row r="351" spans="1:6" ht="24.75" x14ac:dyDescent="0.25">
      <c r="A351" s="184">
        <f>'изм. 31'!A353</f>
        <v>267</v>
      </c>
      <c r="B351" s="98" t="str">
        <f>'изм. 31'!B306</f>
        <v xml:space="preserve"> Всего по направлению «Капитальные вложения», в том числе:</v>
      </c>
      <c r="C351" s="109">
        <f>C352+C353+C354+C355</f>
        <v>0</v>
      </c>
      <c r="D351" s="110">
        <v>0</v>
      </c>
      <c r="E351" s="173">
        <v>0</v>
      </c>
      <c r="F351" s="108"/>
    </row>
    <row r="352" spans="1:6" x14ac:dyDescent="0.25">
      <c r="A352" s="184">
        <f>'изм. 31'!A354</f>
        <v>268</v>
      </c>
      <c r="B352" s="98" t="str">
        <f>'изм. 31'!B307</f>
        <v>федеральный бюджет</v>
      </c>
      <c r="C352" s="106">
        <f>Лист1!I317</f>
        <v>0</v>
      </c>
      <c r="D352" s="111">
        <v>0</v>
      </c>
      <c r="E352" s="172">
        <v>0</v>
      </c>
      <c r="F352" s="108"/>
    </row>
    <row r="353" spans="1:6" x14ac:dyDescent="0.25">
      <c r="A353" s="184">
        <f>'изм. 31'!A355</f>
        <v>269</v>
      </c>
      <c r="B353" s="98" t="str">
        <f>'изм. 31'!B308</f>
        <v>областной бюджет</v>
      </c>
      <c r="C353" s="106">
        <f>Лист1!I318</f>
        <v>0</v>
      </c>
      <c r="D353" s="111">
        <v>0</v>
      </c>
      <c r="E353" s="172">
        <v>0</v>
      </c>
      <c r="F353" s="108"/>
    </row>
    <row r="354" spans="1:6" x14ac:dyDescent="0.25">
      <c r="A354" s="184">
        <f>'изм. 31'!A356</f>
        <v>270</v>
      </c>
      <c r="B354" s="98" t="str">
        <f>'изм. 31'!B309</f>
        <v>местный бюджет</v>
      </c>
      <c r="C354" s="106">
        <f>Лист1!I319</f>
        <v>0</v>
      </c>
      <c r="D354" s="111">
        <v>0</v>
      </c>
      <c r="E354" s="172">
        <v>0</v>
      </c>
      <c r="F354" s="108"/>
    </row>
    <row r="355" spans="1:6" x14ac:dyDescent="0.25">
      <c r="A355" s="184">
        <f>'изм. 31'!A357</f>
        <v>271</v>
      </c>
      <c r="B355" s="98" t="str">
        <f>'изм. 31'!B310</f>
        <v>внебюджетные источники</v>
      </c>
      <c r="C355" s="106">
        <f>Лист1!I320</f>
        <v>0</v>
      </c>
      <c r="D355" s="111">
        <v>0</v>
      </c>
      <c r="E355" s="172">
        <v>0</v>
      </c>
      <c r="F355" s="108"/>
    </row>
    <row r="356" spans="1:6" ht="24.75" hidden="1" x14ac:dyDescent="0.25">
      <c r="A356" s="184">
        <f>'изм. 31'!A358</f>
        <v>272</v>
      </c>
      <c r="B356" s="105" t="str">
        <f>'изм. 31'!B311</f>
        <v>1.1. Бюджетные инвестиции в объекты капитального строительства</v>
      </c>
      <c r="C356" s="106">
        <f>Лист1!I321</f>
        <v>0</v>
      </c>
      <c r="D356" s="111">
        <v>0</v>
      </c>
      <c r="E356" s="172"/>
      <c r="F356" s="108"/>
    </row>
    <row r="357" spans="1:6" ht="24.75" hidden="1" x14ac:dyDescent="0.25">
      <c r="A357" s="184">
        <f>'изм. 31'!A359</f>
        <v>273</v>
      </c>
      <c r="B357" s="98" t="str">
        <f>'изм. 31'!B312</f>
        <v>Бюджетные инвестиции в объекты капитального строительства, всего, в том числе</v>
      </c>
      <c r="C357" s="106">
        <f>Лист1!I322</f>
        <v>0</v>
      </c>
      <c r="D357" s="111">
        <v>0</v>
      </c>
      <c r="E357" s="172">
        <v>0</v>
      </c>
      <c r="F357" s="108"/>
    </row>
    <row r="358" spans="1:6" hidden="1" x14ac:dyDescent="0.25">
      <c r="A358" s="184">
        <f>'изм. 31'!A360</f>
        <v>274</v>
      </c>
      <c r="B358" s="98" t="str">
        <f>'изм. 31'!B313</f>
        <v>федеральный бюджет</v>
      </c>
      <c r="C358" s="106">
        <f>Лист1!I323</f>
        <v>0</v>
      </c>
      <c r="D358" s="111">
        <v>0</v>
      </c>
      <c r="E358" s="172">
        <v>0</v>
      </c>
      <c r="F358" s="108"/>
    </row>
    <row r="359" spans="1:6" hidden="1" x14ac:dyDescent="0.25">
      <c r="A359" s="184">
        <f>'изм. 31'!A361</f>
        <v>275</v>
      </c>
      <c r="B359" s="98" t="str">
        <f>'изм. 31'!B314</f>
        <v>областной бюджет</v>
      </c>
      <c r="C359" s="106">
        <f>Лист1!I324</f>
        <v>0</v>
      </c>
      <c r="D359" s="111">
        <v>0</v>
      </c>
      <c r="E359" s="172">
        <v>0</v>
      </c>
      <c r="F359" s="108"/>
    </row>
    <row r="360" spans="1:6" hidden="1" x14ac:dyDescent="0.25">
      <c r="A360" s="184">
        <f>'изм. 31'!A362</f>
        <v>276</v>
      </c>
      <c r="B360" s="98" t="str">
        <f>'изм. 31'!B315</f>
        <v>местный бюджет</v>
      </c>
      <c r="C360" s="106">
        <f>Лист1!I325</f>
        <v>0</v>
      </c>
      <c r="D360" s="111">
        <v>0</v>
      </c>
      <c r="E360" s="172">
        <v>0</v>
      </c>
      <c r="F360" s="108"/>
    </row>
    <row r="361" spans="1:6" hidden="1" x14ac:dyDescent="0.25">
      <c r="A361" s="184">
        <f>'изм. 31'!A363</f>
        <v>277</v>
      </c>
      <c r="B361" s="98" t="str">
        <f>'изм. 31'!B316</f>
        <v>внебюджетные источники</v>
      </c>
      <c r="C361" s="106">
        <f>Лист1!I326</f>
        <v>0</v>
      </c>
      <c r="D361" s="111">
        <v>0</v>
      </c>
      <c r="E361" s="172">
        <v>0</v>
      </c>
      <c r="F361" s="108"/>
    </row>
    <row r="362" spans="1:6" hidden="1" x14ac:dyDescent="0.25">
      <c r="A362" s="184">
        <f>'изм. 31'!A364</f>
        <v>278</v>
      </c>
      <c r="B362" s="105" t="str">
        <f>'изм. 31'!B317</f>
        <v>1.2. Иные капитальные вложения</v>
      </c>
      <c r="C362" s="106">
        <f>Лист1!I327</f>
        <v>0</v>
      </c>
      <c r="D362" s="111">
        <v>0</v>
      </c>
      <c r="E362" s="172"/>
      <c r="F362" s="108"/>
    </row>
    <row r="363" spans="1:6" hidden="1" x14ac:dyDescent="0.25">
      <c r="A363" s="184">
        <f>'изм. 31'!A365</f>
        <v>279</v>
      </c>
      <c r="B363" s="98" t="str">
        <f>'изм. 31'!B318</f>
        <v>Иные капитальные вложения, всего, в том числе</v>
      </c>
      <c r="C363" s="106">
        <f>Лист1!I328</f>
        <v>0</v>
      </c>
      <c r="D363" s="111">
        <v>0</v>
      </c>
      <c r="E363" s="172">
        <v>0</v>
      </c>
      <c r="F363" s="108"/>
    </row>
    <row r="364" spans="1:6" hidden="1" x14ac:dyDescent="0.25">
      <c r="A364" s="184">
        <f>'изм. 31'!A366</f>
        <v>280</v>
      </c>
      <c r="B364" s="98" t="str">
        <f>'изм. 31'!B319</f>
        <v>федеральный бюджет</v>
      </c>
      <c r="C364" s="106">
        <f>Лист1!I329</f>
        <v>0</v>
      </c>
      <c r="D364" s="111">
        <v>0</v>
      </c>
      <c r="E364" s="172">
        <v>0</v>
      </c>
      <c r="F364" s="108"/>
    </row>
    <row r="365" spans="1:6" hidden="1" x14ac:dyDescent="0.25">
      <c r="A365" s="184">
        <f>'изм. 31'!A367</f>
        <v>281</v>
      </c>
      <c r="B365" s="98" t="str">
        <f>'изм. 31'!B320</f>
        <v>областной бюджет</v>
      </c>
      <c r="C365" s="106">
        <f>Лист1!I330</f>
        <v>0</v>
      </c>
      <c r="D365" s="111">
        <v>0</v>
      </c>
      <c r="E365" s="172">
        <v>0</v>
      </c>
      <c r="F365" s="108"/>
    </row>
    <row r="366" spans="1:6" hidden="1" x14ac:dyDescent="0.25">
      <c r="A366" s="184">
        <f>'изм. 31'!A368</f>
        <v>282</v>
      </c>
      <c r="B366" s="98" t="str">
        <f>'изм. 31'!B321</f>
        <v>местный бюджет</v>
      </c>
      <c r="C366" s="106">
        <f>Лист1!I331</f>
        <v>0</v>
      </c>
      <c r="D366" s="111">
        <v>0</v>
      </c>
      <c r="E366" s="172">
        <v>0</v>
      </c>
      <c r="F366" s="108"/>
    </row>
    <row r="367" spans="1:6" hidden="1" x14ac:dyDescent="0.25">
      <c r="A367" s="184">
        <f>'изм. 31'!A369</f>
        <v>283</v>
      </c>
      <c r="B367" s="98" t="str">
        <f>'изм. 31'!B322</f>
        <v>внебюджетные источники</v>
      </c>
      <c r="C367" s="106">
        <f>Лист1!I332</f>
        <v>0</v>
      </c>
      <c r="D367" s="111">
        <v>0</v>
      </c>
      <c r="E367" s="172">
        <v>0</v>
      </c>
      <c r="F367" s="108"/>
    </row>
    <row r="368" spans="1:6" x14ac:dyDescent="0.25">
      <c r="A368" s="184">
        <f>'изм. 31'!A370</f>
        <v>284</v>
      </c>
      <c r="B368" s="104" t="str">
        <f>'изм. 31'!B323</f>
        <v>2. Прочие нужды</v>
      </c>
      <c r="C368" s="106"/>
      <c r="D368" s="111"/>
      <c r="E368" s="172"/>
      <c r="F368" s="108"/>
    </row>
    <row r="369" spans="1:6" x14ac:dyDescent="0.25">
      <c r="A369" s="184">
        <f>'изм. 31'!A371</f>
        <v>285</v>
      </c>
      <c r="B369" s="98" t="str">
        <f>'изм. 31'!B324</f>
        <v>Всего по направлению "Прочие нужды", в том числе:</v>
      </c>
      <c r="C369" s="109">
        <f>C370+C371+C372+C373</f>
        <v>0</v>
      </c>
      <c r="D369" s="109">
        <f>D370+D371+D372+D373</f>
        <v>0</v>
      </c>
      <c r="E369" s="173">
        <v>0</v>
      </c>
      <c r="F369" s="108"/>
    </row>
    <row r="370" spans="1:6" x14ac:dyDescent="0.25">
      <c r="A370" s="184">
        <f>'изм. 31'!A372</f>
        <v>286</v>
      </c>
      <c r="B370" s="98" t="str">
        <f>'изм. 31'!B325</f>
        <v>федеральный бюджет</v>
      </c>
      <c r="C370" s="106">
        <f>Лист1!I335</f>
        <v>0</v>
      </c>
      <c r="D370" s="181">
        <f>D375+D388+D393+D398</f>
        <v>0</v>
      </c>
      <c r="E370" s="172">
        <v>0</v>
      </c>
      <c r="F370" s="108"/>
    </row>
    <row r="371" spans="1:6" x14ac:dyDescent="0.25">
      <c r="A371" s="184">
        <f>'изм. 31'!A373</f>
        <v>287</v>
      </c>
      <c r="B371" s="98" t="str">
        <f>'изм. 31'!B326</f>
        <v>областной бюджет</v>
      </c>
      <c r="C371" s="106">
        <f>Лист1!I336</f>
        <v>0</v>
      </c>
      <c r="D371" s="181">
        <f>D376+D389+D394+D399</f>
        <v>0</v>
      </c>
      <c r="E371" s="172">
        <v>0</v>
      </c>
      <c r="F371" s="108"/>
    </row>
    <row r="372" spans="1:6" x14ac:dyDescent="0.25">
      <c r="A372" s="184">
        <f>'изм. 31'!A374</f>
        <v>288</v>
      </c>
      <c r="B372" s="98" t="str">
        <f>'изм. 31'!B327</f>
        <v>местный бюджет</v>
      </c>
      <c r="C372" s="106">
        <f>C377+C390+C395</f>
        <v>0</v>
      </c>
      <c r="D372" s="181">
        <f>D377+D390+D395+D400</f>
        <v>0</v>
      </c>
      <c r="E372" s="172">
        <v>0</v>
      </c>
      <c r="F372" s="108"/>
    </row>
    <row r="373" spans="1:6" x14ac:dyDescent="0.25">
      <c r="A373" s="184">
        <f>'изм. 31'!A375</f>
        <v>289</v>
      </c>
      <c r="B373" s="98" t="str">
        <f>'изм. 31'!B328</f>
        <v>внебюджетные источники</v>
      </c>
      <c r="C373" s="106">
        <f>C378+C391+C396+C401</f>
        <v>0</v>
      </c>
      <c r="D373" s="181">
        <f>D378+D391+D396+D401</f>
        <v>0</v>
      </c>
      <c r="E373" s="172">
        <v>0</v>
      </c>
      <c r="F373" s="108"/>
    </row>
    <row r="374" spans="1:6" ht="72.75" x14ac:dyDescent="0.25">
      <c r="A374" s="184">
        <f>'изм. 31'!A376</f>
        <v>290</v>
      </c>
      <c r="B374" s="107" t="s">
        <v>256</v>
      </c>
      <c r="C374" s="110">
        <f>C375+C376+C377+C378</f>
        <v>0</v>
      </c>
      <c r="D374" s="110">
        <f>SUM(D375:D378)</f>
        <v>0</v>
      </c>
      <c r="E374" s="179">
        <v>0</v>
      </c>
      <c r="F374" s="142"/>
    </row>
    <row r="375" spans="1:6" x14ac:dyDescent="0.25">
      <c r="A375" s="184">
        <f>'изм. 31'!A377</f>
        <v>291</v>
      </c>
      <c r="B375" s="98" t="str">
        <f>'изм. 31'!B330</f>
        <v>федеральный бюджет</v>
      </c>
      <c r="C375" s="111">
        <f>Лист1!I340</f>
        <v>0</v>
      </c>
      <c r="D375" s="111">
        <v>0</v>
      </c>
      <c r="E375" s="180">
        <v>0</v>
      </c>
      <c r="F375" s="142"/>
    </row>
    <row r="376" spans="1:6" x14ac:dyDescent="0.25">
      <c r="A376" s="184">
        <f>'изм. 31'!A378</f>
        <v>292</v>
      </c>
      <c r="B376" s="98" t="str">
        <f>'изм. 31'!B331</f>
        <v>областной бюджет</v>
      </c>
      <c r="C376" s="111">
        <f>Лист1!I341</f>
        <v>0</v>
      </c>
      <c r="D376" s="111">
        <v>0</v>
      </c>
      <c r="E376" s="180">
        <v>0</v>
      </c>
      <c r="F376" s="142"/>
    </row>
    <row r="377" spans="1:6" x14ac:dyDescent="0.25">
      <c r="A377" s="184">
        <f>'изм. 31'!A379</f>
        <v>293</v>
      </c>
      <c r="B377" s="98" t="str">
        <f>'изм. 31'!B332</f>
        <v>местный бюджет</v>
      </c>
      <c r="C377" s="111">
        <v>0</v>
      </c>
      <c r="D377" s="111">
        <v>0</v>
      </c>
      <c r="E377" s="180">
        <v>0</v>
      </c>
      <c r="F377" s="142"/>
    </row>
    <row r="378" spans="1:6" x14ac:dyDescent="0.25">
      <c r="A378" s="184">
        <f>'изм. 31'!A380</f>
        <v>294</v>
      </c>
      <c r="B378" s="98" t="str">
        <f>'изм. 31'!B333</f>
        <v>внебюджетные источники</v>
      </c>
      <c r="C378" s="111">
        <f>Лист1!I343</f>
        <v>0</v>
      </c>
      <c r="D378" s="111">
        <v>0</v>
      </c>
      <c r="E378" s="180">
        <v>0</v>
      </c>
      <c r="F378" s="142"/>
    </row>
    <row r="379" spans="1:6" ht="72.75" hidden="1" x14ac:dyDescent="0.25">
      <c r="A379" s="184">
        <f>'изм. 31'!A381</f>
        <v>295</v>
      </c>
      <c r="B379" s="98" t="str">
        <f>'изм. 31'!B334</f>
        <v>Мероприятие 12.1  Субсидии на капитальный ремонт помещения муниципального бюджетного учреждения культуры  Кушвинского городского округа «Кушвинский краеведческий музей»,  расположенного по адресу: г. Кушва. Ул. Фадеевых,39.</v>
      </c>
      <c r="C379" s="111">
        <f>Лист1!I344</f>
        <v>0</v>
      </c>
      <c r="D379" s="177"/>
      <c r="E379" s="180">
        <v>0</v>
      </c>
      <c r="F379" s="108"/>
    </row>
    <row r="380" spans="1:6" hidden="1" x14ac:dyDescent="0.25">
      <c r="A380" s="184">
        <f>'изм. 31'!A382</f>
        <v>296</v>
      </c>
      <c r="B380" s="98" t="str">
        <f>'изм. 31'!B335</f>
        <v>областной бюджет</v>
      </c>
      <c r="C380" s="111">
        <f>Лист1!I345</f>
        <v>0</v>
      </c>
      <c r="D380" s="177"/>
      <c r="E380" s="172">
        <v>0</v>
      </c>
      <c r="F380" s="108"/>
    </row>
    <row r="381" spans="1:6" hidden="1" x14ac:dyDescent="0.25">
      <c r="A381" s="184">
        <f>'изм. 31'!A383</f>
        <v>297</v>
      </c>
      <c r="B381" s="98" t="str">
        <f>'изм. 31'!B336</f>
        <v>местный бюджет</v>
      </c>
      <c r="C381" s="111">
        <f>Лист1!I346</f>
        <v>0</v>
      </c>
      <c r="D381" s="177"/>
      <c r="E381" s="172">
        <v>0</v>
      </c>
      <c r="F381" s="108"/>
    </row>
    <row r="382" spans="1:6" hidden="1" x14ac:dyDescent="0.25">
      <c r="A382" s="184">
        <f>'изм. 31'!A384</f>
        <v>298</v>
      </c>
      <c r="B382" s="98" t="str">
        <f>'изм. 31'!B337</f>
        <v>внебюджетные источники</v>
      </c>
      <c r="C382" s="111">
        <f>Лист1!I347</f>
        <v>0</v>
      </c>
      <c r="D382" s="177"/>
      <c r="E382" s="172">
        <v>0</v>
      </c>
      <c r="F382" s="108"/>
    </row>
    <row r="383" spans="1:6" ht="72.75" hidden="1" x14ac:dyDescent="0.25">
      <c r="A383" s="184">
        <f>'изм. 31'!A385</f>
        <v>299</v>
      </c>
      <c r="B383" s="98" t="str">
        <f>'изм. 31'!B338</f>
        <v>Мероприятие 12.2. Обеспечение мероприятий по укреплению и развитию материально-технической базы муниципального бюджетного учреждения культуры Кушвинского городского округа «Кушвинский краеведческий музей», расположенного по адресу: г. Кушва, ул. Фадеевых, 39, всего, из них:</v>
      </c>
      <c r="C383" s="111">
        <f>Лист1!I348</f>
        <v>0</v>
      </c>
      <c r="D383" s="177"/>
      <c r="E383" s="172">
        <v>0</v>
      </c>
      <c r="F383" s="108"/>
    </row>
    <row r="384" spans="1:6" hidden="1" x14ac:dyDescent="0.25">
      <c r="A384" s="184">
        <f>'изм. 31'!A386</f>
        <v>300</v>
      </c>
      <c r="B384" s="98" t="str">
        <f>'изм. 31'!B339</f>
        <v>областной бюджет</v>
      </c>
      <c r="C384" s="111">
        <f>Лист1!I349</f>
        <v>0</v>
      </c>
      <c r="D384" s="177"/>
      <c r="E384" s="172">
        <v>0</v>
      </c>
      <c r="F384" s="108"/>
    </row>
    <row r="385" spans="1:6" hidden="1" x14ac:dyDescent="0.25">
      <c r="A385" s="184">
        <f>'изм. 31'!A387</f>
        <v>301</v>
      </c>
      <c r="B385" s="98" t="str">
        <f>'изм. 31'!B340</f>
        <v>местный бюджет</v>
      </c>
      <c r="C385" s="111">
        <f>Лист1!I350</f>
        <v>0</v>
      </c>
      <c r="D385" s="177"/>
      <c r="E385" s="172">
        <v>0</v>
      </c>
      <c r="F385" s="108"/>
    </row>
    <row r="386" spans="1:6" hidden="1" x14ac:dyDescent="0.25">
      <c r="A386" s="184">
        <f>'изм. 31'!A388</f>
        <v>302</v>
      </c>
      <c r="B386" s="98" t="str">
        <f>'изм. 31'!B341</f>
        <v>внебюджетные источники</v>
      </c>
      <c r="C386" s="111">
        <f>Лист1!I351</f>
        <v>0</v>
      </c>
      <c r="D386" s="177"/>
      <c r="E386" s="172">
        <v>0</v>
      </c>
      <c r="F386" s="108"/>
    </row>
    <row r="387" spans="1:6" ht="48.75" x14ac:dyDescent="0.25">
      <c r="A387" s="184">
        <f>'изм. 31'!A389</f>
        <v>303</v>
      </c>
      <c r="B387" s="107" t="s">
        <v>257</v>
      </c>
      <c r="C387" s="110">
        <f>Лист1!I352</f>
        <v>0</v>
      </c>
      <c r="D387" s="110">
        <f>SUM(D388:D391)</f>
        <v>0</v>
      </c>
      <c r="E387" s="173">
        <v>0</v>
      </c>
      <c r="F387" s="108"/>
    </row>
    <row r="388" spans="1:6" x14ac:dyDescent="0.25">
      <c r="A388" s="184">
        <f>'изм. 31'!A390</f>
        <v>304</v>
      </c>
      <c r="B388" s="98" t="str">
        <f>'изм. 31'!B343</f>
        <v>федеральный бюджет</v>
      </c>
      <c r="C388" s="111">
        <f>Лист1!I353</f>
        <v>0</v>
      </c>
      <c r="D388" s="111">
        <v>0</v>
      </c>
      <c r="E388" s="172">
        <v>0</v>
      </c>
      <c r="F388" s="108"/>
    </row>
    <row r="389" spans="1:6" x14ac:dyDescent="0.25">
      <c r="A389" s="184">
        <f>'изм. 31'!A391</f>
        <v>305</v>
      </c>
      <c r="B389" s="98" t="str">
        <f>'изм. 31'!B344</f>
        <v>областной бюджет</v>
      </c>
      <c r="C389" s="111">
        <f>Лист1!I354</f>
        <v>0</v>
      </c>
      <c r="D389" s="111">
        <v>0</v>
      </c>
      <c r="E389" s="172">
        <v>0</v>
      </c>
      <c r="F389" s="108"/>
    </row>
    <row r="390" spans="1:6" x14ac:dyDescent="0.25">
      <c r="A390" s="184">
        <f>'изм. 31'!A392</f>
        <v>306</v>
      </c>
      <c r="B390" s="98" t="str">
        <f>'изм. 31'!B345</f>
        <v>местный бюджет</v>
      </c>
      <c r="C390" s="111">
        <f>Лист1!I355</f>
        <v>0</v>
      </c>
      <c r="D390" s="111">
        <v>0</v>
      </c>
      <c r="E390" s="172">
        <v>0</v>
      </c>
      <c r="F390" s="108"/>
    </row>
    <row r="391" spans="1:6" x14ac:dyDescent="0.25">
      <c r="A391" s="184">
        <f>'изм. 31'!A393</f>
        <v>307</v>
      </c>
      <c r="B391" s="98" t="str">
        <f>'изм. 31'!B346</f>
        <v>внебюджетные источники</v>
      </c>
      <c r="C391" s="111">
        <f>Лист1!I356</f>
        <v>0</v>
      </c>
      <c r="D391" s="111">
        <v>0</v>
      </c>
      <c r="E391" s="172">
        <v>0</v>
      </c>
      <c r="F391" s="108"/>
    </row>
    <row r="392" spans="1:6" ht="52.5" customHeight="1" x14ac:dyDescent="0.25">
      <c r="A392" s="184">
        <f>'изм. 31'!A394</f>
        <v>308</v>
      </c>
      <c r="B392" s="107" t="s">
        <v>258</v>
      </c>
      <c r="C392" s="109">
        <f>Лист1!I357</f>
        <v>0</v>
      </c>
      <c r="D392" s="110">
        <v>0</v>
      </c>
      <c r="E392" s="173">
        <v>0</v>
      </c>
      <c r="F392" s="108"/>
    </row>
    <row r="393" spans="1:6" x14ac:dyDescent="0.25">
      <c r="A393" s="184">
        <f>'изм. 31'!A395</f>
        <v>309</v>
      </c>
      <c r="B393" s="98" t="str">
        <f>'изм. 31'!B348</f>
        <v>федеральный бюджет</v>
      </c>
      <c r="C393" s="106">
        <f>Лист1!I358</f>
        <v>0</v>
      </c>
      <c r="D393" s="111">
        <v>0</v>
      </c>
      <c r="E393" s="172">
        <v>0</v>
      </c>
      <c r="F393" s="108"/>
    </row>
    <row r="394" spans="1:6" x14ac:dyDescent="0.25">
      <c r="A394" s="184">
        <f>'изм. 31'!A396</f>
        <v>310</v>
      </c>
      <c r="B394" s="98" t="str">
        <f>'изм. 31'!B349</f>
        <v>областной бюджет</v>
      </c>
      <c r="C394" s="106">
        <f>Лист1!I359</f>
        <v>0</v>
      </c>
      <c r="D394" s="111">
        <v>0</v>
      </c>
      <c r="E394" s="172">
        <v>0</v>
      </c>
      <c r="F394" s="108"/>
    </row>
    <row r="395" spans="1:6" x14ac:dyDescent="0.25">
      <c r="A395" s="184">
        <f>'изм. 31'!A397</f>
        <v>312</v>
      </c>
      <c r="B395" s="98" t="str">
        <f>'изм. 31'!B350</f>
        <v>местный бюджет</v>
      </c>
      <c r="C395" s="106">
        <f>Лист1!I360</f>
        <v>0</v>
      </c>
      <c r="D395" s="111">
        <v>0</v>
      </c>
      <c r="E395" s="172">
        <v>0</v>
      </c>
      <c r="F395" s="108"/>
    </row>
    <row r="396" spans="1:6" x14ac:dyDescent="0.25">
      <c r="A396" s="184">
        <f>'изм. 31'!A398</f>
        <v>313</v>
      </c>
      <c r="B396" s="98" t="str">
        <f>'изм. 31'!B351</f>
        <v>внебюджетные источники</v>
      </c>
      <c r="C396" s="106">
        <f>Лист1!I361</f>
        <v>0</v>
      </c>
      <c r="D396" s="111">
        <v>0</v>
      </c>
      <c r="E396" s="172">
        <v>0</v>
      </c>
      <c r="F396" s="108"/>
    </row>
    <row r="397" spans="1:6" ht="36.75" x14ac:dyDescent="0.25">
      <c r="A397" s="184">
        <f>'изм. 31'!A399</f>
        <v>314</v>
      </c>
      <c r="B397" s="107" t="s">
        <v>259</v>
      </c>
      <c r="C397" s="109">
        <f>C398+C399+C400+C401</f>
        <v>0</v>
      </c>
      <c r="D397" s="109">
        <f>D398+D399+D400+D401</f>
        <v>0</v>
      </c>
      <c r="E397" s="173">
        <v>0</v>
      </c>
      <c r="F397" s="108"/>
    </row>
    <row r="398" spans="1:6" x14ac:dyDescent="0.25">
      <c r="A398" s="184">
        <f>'изм. 31'!A400</f>
        <v>315</v>
      </c>
      <c r="B398" s="98" t="str">
        <f>'изм. 31'!B353</f>
        <v>федеральный бюджет</v>
      </c>
      <c r="C398" s="109">
        <f>Лист1!I363</f>
        <v>0</v>
      </c>
      <c r="D398" s="111">
        <v>0</v>
      </c>
      <c r="E398" s="172">
        <v>0</v>
      </c>
      <c r="F398" s="108"/>
    </row>
    <row r="399" spans="1:6" x14ac:dyDescent="0.25">
      <c r="A399" s="184">
        <f>'изм. 31'!A401</f>
        <v>316</v>
      </c>
      <c r="B399" s="98" t="str">
        <f>'изм. 31'!B354</f>
        <v>областной бюджет</v>
      </c>
      <c r="C399" s="109">
        <f>Лист1!I364</f>
        <v>0</v>
      </c>
      <c r="D399" s="111">
        <v>0</v>
      </c>
      <c r="E399" s="172">
        <v>0</v>
      </c>
      <c r="F399" s="108"/>
    </row>
    <row r="400" spans="1:6" x14ac:dyDescent="0.25">
      <c r="A400" s="184">
        <f>'изм. 31'!A402</f>
        <v>317</v>
      </c>
      <c r="B400" s="98" t="str">
        <f>'изм. 31'!B355</f>
        <v>местный бюджет</v>
      </c>
      <c r="C400" s="109">
        <v>0</v>
      </c>
      <c r="D400" s="111">
        <v>0</v>
      </c>
      <c r="E400" s="172">
        <v>0</v>
      </c>
      <c r="F400" s="108"/>
    </row>
    <row r="401" spans="1:6" x14ac:dyDescent="0.25">
      <c r="A401" s="184">
        <f>'изм. 31'!A403</f>
        <v>318</v>
      </c>
      <c r="B401" s="98" t="str">
        <f>'изм. 31'!B356</f>
        <v>внебюджетные источники</v>
      </c>
      <c r="C401" s="109">
        <f>Лист1!I366</f>
        <v>0</v>
      </c>
      <c r="D401" s="111">
        <v>0</v>
      </c>
      <c r="E401" s="172">
        <v>0</v>
      </c>
      <c r="F401" s="108"/>
    </row>
    <row r="402" spans="1:6" s="100" customFormat="1" ht="29.25" customHeight="1" x14ac:dyDescent="0.25">
      <c r="A402" s="184">
        <f>'изм. 31'!A404</f>
        <v>319</v>
      </c>
      <c r="B402" s="192" t="str">
        <f>'изм. 31'!B362</f>
        <v>ПОДПРОГРАММА 4 «ДОСТУПНАЯ СРЕДА»</v>
      </c>
      <c r="C402" s="193"/>
      <c r="D402" s="193"/>
      <c r="E402" s="193"/>
      <c r="F402" s="194"/>
    </row>
    <row r="403" spans="1:6" x14ac:dyDescent="0.25">
      <c r="A403" s="184">
        <f>'изм. 31'!A405</f>
        <v>320</v>
      </c>
      <c r="B403" s="104" t="str">
        <f>'изм. 31'!B363</f>
        <v>Всего по подпрограмме, в том числе</v>
      </c>
      <c r="C403" s="110">
        <f>C404+C405+C406+C407</f>
        <v>0</v>
      </c>
      <c r="D403" s="110">
        <f>D404+D405+D406+D407</f>
        <v>0</v>
      </c>
      <c r="E403" s="179">
        <v>0</v>
      </c>
      <c r="F403" s="108"/>
    </row>
    <row r="404" spans="1:6" x14ac:dyDescent="0.25">
      <c r="A404" s="184">
        <f>'изм. 31'!A406</f>
        <v>321</v>
      </c>
      <c r="B404" s="98" t="str">
        <f>'изм. 31'!B364</f>
        <v>федеральный бюджет</v>
      </c>
      <c r="C404" s="111">
        <f t="shared" ref="C404:D407" si="13">C410+C428</f>
        <v>0</v>
      </c>
      <c r="D404" s="111">
        <f t="shared" si="13"/>
        <v>0</v>
      </c>
      <c r="E404" s="172">
        <v>0</v>
      </c>
      <c r="F404" s="108"/>
    </row>
    <row r="405" spans="1:6" x14ac:dyDescent="0.25">
      <c r="A405" s="184">
        <f>'изм. 31'!A407</f>
        <v>322</v>
      </c>
      <c r="B405" s="98" t="str">
        <f>'изм. 31'!B365</f>
        <v>областной бюджет</v>
      </c>
      <c r="C405" s="111">
        <f t="shared" si="13"/>
        <v>0</v>
      </c>
      <c r="D405" s="111">
        <f t="shared" si="13"/>
        <v>0</v>
      </c>
      <c r="E405" s="172">
        <v>0</v>
      </c>
      <c r="F405" s="108"/>
    </row>
    <row r="406" spans="1:6" x14ac:dyDescent="0.25">
      <c r="A406" s="184">
        <f>'изм. 31'!A408</f>
        <v>323</v>
      </c>
      <c r="B406" s="98" t="str">
        <f>'изм. 31'!B366</f>
        <v>местный бюджет</v>
      </c>
      <c r="C406" s="111">
        <f t="shared" si="13"/>
        <v>0</v>
      </c>
      <c r="D406" s="111">
        <f t="shared" si="13"/>
        <v>0</v>
      </c>
      <c r="E406" s="172">
        <v>0</v>
      </c>
      <c r="F406" s="108"/>
    </row>
    <row r="407" spans="1:6" x14ac:dyDescent="0.25">
      <c r="A407" s="184">
        <f>'изм. 31'!A409</f>
        <v>324</v>
      </c>
      <c r="B407" s="98" t="str">
        <f>'изм. 31'!B367</f>
        <v>внебюджетные источники</v>
      </c>
      <c r="C407" s="111">
        <f t="shared" si="13"/>
        <v>0</v>
      </c>
      <c r="D407" s="111">
        <f t="shared" si="13"/>
        <v>0</v>
      </c>
      <c r="E407" s="172">
        <v>0</v>
      </c>
      <c r="F407" s="108"/>
    </row>
    <row r="408" spans="1:6" x14ac:dyDescent="0.25">
      <c r="A408" s="184">
        <f>'изм. 31'!A410</f>
        <v>325</v>
      </c>
      <c r="B408" s="104" t="str">
        <f>'изм. 31'!B368</f>
        <v>1.      Капитальные вложения</v>
      </c>
      <c r="C408" s="106"/>
      <c r="D408" s="111"/>
      <c r="E408" s="172"/>
      <c r="F408" s="108"/>
    </row>
    <row r="409" spans="1:6" ht="24.75" x14ac:dyDescent="0.25">
      <c r="A409" s="184">
        <f>'изм. 31'!A411</f>
        <v>326</v>
      </c>
      <c r="B409" s="98" t="str">
        <f>'изм. 31'!B369</f>
        <v xml:space="preserve"> Всего по направлению «Капитальные вложения», в том числе:</v>
      </c>
      <c r="C409" s="109">
        <f>C410+C411+C412+C413</f>
        <v>0</v>
      </c>
      <c r="D409" s="110">
        <f>D410+D411+D412+D413</f>
        <v>0</v>
      </c>
      <c r="E409" s="173">
        <v>0</v>
      </c>
      <c r="F409" s="108"/>
    </row>
    <row r="410" spans="1:6" x14ac:dyDescent="0.25">
      <c r="A410" s="184">
        <f>'изм. 31'!A412</f>
        <v>327</v>
      </c>
      <c r="B410" s="98" t="str">
        <f>'изм. 31'!B370</f>
        <v>федеральный бюджет</v>
      </c>
      <c r="C410" s="106">
        <f>Лист1!I380</f>
        <v>0</v>
      </c>
      <c r="D410" s="111">
        <v>0</v>
      </c>
      <c r="E410" s="172">
        <v>0</v>
      </c>
      <c r="F410" s="108"/>
    </row>
    <row r="411" spans="1:6" x14ac:dyDescent="0.25">
      <c r="A411" s="184">
        <f>'изм. 31'!A413</f>
        <v>311</v>
      </c>
      <c r="B411" s="98" t="str">
        <f>'изм. 31'!B371</f>
        <v>областной бюджет</v>
      </c>
      <c r="C411" s="106">
        <f>Лист1!I381</f>
        <v>0</v>
      </c>
      <c r="D411" s="111">
        <v>0</v>
      </c>
      <c r="E411" s="172">
        <v>0</v>
      </c>
      <c r="F411" s="108"/>
    </row>
    <row r="412" spans="1:6" x14ac:dyDescent="0.25">
      <c r="A412" s="186">
        <f>'изм. 31'!A414</f>
        <v>312</v>
      </c>
      <c r="B412" s="98" t="str">
        <f>'изм. 31'!B372</f>
        <v>местный бюджет</v>
      </c>
      <c r="C412" s="106">
        <f>Лист1!I382</f>
        <v>0</v>
      </c>
      <c r="D412" s="111">
        <v>0</v>
      </c>
      <c r="E412" s="172">
        <v>0</v>
      </c>
      <c r="F412" s="108"/>
    </row>
    <row r="413" spans="1:6" x14ac:dyDescent="0.25">
      <c r="A413" s="186">
        <f>'изм. 31'!A415</f>
        <v>313</v>
      </c>
      <c r="B413" s="98" t="str">
        <f>'изм. 31'!B373</f>
        <v>внебюджетные источники</v>
      </c>
      <c r="C413" s="106">
        <f>Лист1!I383</f>
        <v>0</v>
      </c>
      <c r="D413" s="111">
        <v>0</v>
      </c>
      <c r="E413" s="172">
        <v>0</v>
      </c>
      <c r="F413" s="108"/>
    </row>
    <row r="414" spans="1:6" ht="24.75" hidden="1" x14ac:dyDescent="0.25">
      <c r="A414" s="186">
        <f>'изм. 31'!A416</f>
        <v>314</v>
      </c>
      <c r="B414" s="105" t="str">
        <f>'изм. 31'!B374</f>
        <v>1.1. Бюджетные инвестиции в объекты капитального строительства</v>
      </c>
      <c r="C414" s="106">
        <f>Лист1!I384</f>
        <v>0</v>
      </c>
      <c r="D414" s="111">
        <v>0</v>
      </c>
      <c r="E414" s="172">
        <v>0</v>
      </c>
      <c r="F414" s="108"/>
    </row>
    <row r="415" spans="1:6" ht="24.75" hidden="1" x14ac:dyDescent="0.25">
      <c r="A415" s="186">
        <f>'изм. 31'!A417</f>
        <v>315</v>
      </c>
      <c r="B415" s="98" t="str">
        <f>'изм. 31'!B375</f>
        <v>Бюджетные инвестиции в объекты капитального строительства, всего, в том числе</v>
      </c>
      <c r="C415" s="106">
        <f>Лист1!I385</f>
        <v>0</v>
      </c>
      <c r="D415" s="111">
        <v>0</v>
      </c>
      <c r="E415" s="172">
        <v>0</v>
      </c>
      <c r="F415" s="108"/>
    </row>
    <row r="416" spans="1:6" hidden="1" x14ac:dyDescent="0.25">
      <c r="A416" s="186">
        <f>'изм. 31'!A418</f>
        <v>316</v>
      </c>
      <c r="B416" s="98" t="str">
        <f>'изм. 31'!B376</f>
        <v>федеральный бюджет</v>
      </c>
      <c r="C416" s="106">
        <f>Лист1!I386</f>
        <v>0</v>
      </c>
      <c r="D416" s="111">
        <v>0</v>
      </c>
      <c r="E416" s="172">
        <v>0</v>
      </c>
      <c r="F416" s="108"/>
    </row>
    <row r="417" spans="1:6" hidden="1" x14ac:dyDescent="0.25">
      <c r="A417" s="186">
        <f>'изм. 31'!A419</f>
        <v>317</v>
      </c>
      <c r="B417" s="98" t="str">
        <f>'изм. 31'!B377</f>
        <v>областной бюджет</v>
      </c>
      <c r="C417" s="106">
        <f>Лист1!I387</f>
        <v>0</v>
      </c>
      <c r="D417" s="111">
        <v>0</v>
      </c>
      <c r="E417" s="172">
        <v>0</v>
      </c>
      <c r="F417" s="108"/>
    </row>
    <row r="418" spans="1:6" hidden="1" x14ac:dyDescent="0.25">
      <c r="A418" s="186">
        <f>'изм. 31'!A420</f>
        <v>318</v>
      </c>
      <c r="B418" s="98" t="str">
        <f>'изм. 31'!B378</f>
        <v>местный бюджет</v>
      </c>
      <c r="C418" s="106">
        <f>Лист1!I388</f>
        <v>0</v>
      </c>
      <c r="D418" s="111">
        <v>0</v>
      </c>
      <c r="E418" s="172">
        <v>0</v>
      </c>
      <c r="F418" s="108"/>
    </row>
    <row r="419" spans="1:6" hidden="1" x14ac:dyDescent="0.25">
      <c r="A419" s="186">
        <f>'изм. 31'!A421</f>
        <v>319</v>
      </c>
      <c r="B419" s="98" t="str">
        <f>'изм. 31'!B379</f>
        <v>внебюджетные источники</v>
      </c>
      <c r="C419" s="106">
        <f>Лист1!I389</f>
        <v>0</v>
      </c>
      <c r="D419" s="111">
        <v>0</v>
      </c>
      <c r="E419" s="172">
        <v>0</v>
      </c>
      <c r="F419" s="108"/>
    </row>
    <row r="420" spans="1:6" hidden="1" x14ac:dyDescent="0.25">
      <c r="A420" s="186">
        <f>'изм. 31'!A422</f>
        <v>320</v>
      </c>
      <c r="B420" s="105" t="str">
        <f>'изм. 31'!B380</f>
        <v>1.2. Иные капитальные вложения</v>
      </c>
      <c r="C420" s="106">
        <f>Лист1!I390</f>
        <v>0</v>
      </c>
      <c r="D420" s="111">
        <v>0</v>
      </c>
      <c r="E420" s="172">
        <v>0</v>
      </c>
      <c r="F420" s="108"/>
    </row>
    <row r="421" spans="1:6" hidden="1" x14ac:dyDescent="0.25">
      <c r="A421" s="186">
        <f>'изм. 31'!A423</f>
        <v>321</v>
      </c>
      <c r="B421" s="98" t="str">
        <f>'изм. 31'!B381</f>
        <v>Иные капитальные вложения, всего, в том числе</v>
      </c>
      <c r="C421" s="106">
        <f>Лист1!I391</f>
        <v>0</v>
      </c>
      <c r="D421" s="111">
        <v>0</v>
      </c>
      <c r="E421" s="172">
        <v>0</v>
      </c>
      <c r="F421" s="108"/>
    </row>
    <row r="422" spans="1:6" hidden="1" x14ac:dyDescent="0.25">
      <c r="A422" s="186">
        <f>'изм. 31'!A424</f>
        <v>322</v>
      </c>
      <c r="B422" s="98" t="str">
        <f>'изм. 31'!B382</f>
        <v>федеральный бюджет</v>
      </c>
      <c r="C422" s="106">
        <f>Лист1!I392</f>
        <v>0</v>
      </c>
      <c r="D422" s="111">
        <v>0</v>
      </c>
      <c r="E422" s="172">
        <v>0</v>
      </c>
      <c r="F422" s="108"/>
    </row>
    <row r="423" spans="1:6" hidden="1" x14ac:dyDescent="0.25">
      <c r="A423" s="186">
        <f>'изм. 31'!A425</f>
        <v>323</v>
      </c>
      <c r="B423" s="98" t="str">
        <f>'изм. 31'!B383</f>
        <v>областной бюджет</v>
      </c>
      <c r="C423" s="106">
        <f>Лист1!I393</f>
        <v>0</v>
      </c>
      <c r="D423" s="111">
        <v>0</v>
      </c>
      <c r="E423" s="172">
        <v>0</v>
      </c>
      <c r="F423" s="108"/>
    </row>
    <row r="424" spans="1:6" hidden="1" x14ac:dyDescent="0.25">
      <c r="A424" s="186">
        <f>'изм. 31'!A426</f>
        <v>324</v>
      </c>
      <c r="B424" s="98" t="str">
        <f>'изм. 31'!B384</f>
        <v>местный бюджет</v>
      </c>
      <c r="C424" s="106">
        <f>Лист1!I394</f>
        <v>0</v>
      </c>
      <c r="D424" s="111">
        <v>0</v>
      </c>
      <c r="E424" s="172">
        <v>0</v>
      </c>
      <c r="F424" s="108"/>
    </row>
    <row r="425" spans="1:6" hidden="1" x14ac:dyDescent="0.25">
      <c r="A425" s="186">
        <f>'изм. 31'!A427</f>
        <v>325</v>
      </c>
      <c r="B425" s="98" t="str">
        <f>'изм. 31'!B385</f>
        <v>внебюджетные источники</v>
      </c>
      <c r="C425" s="106">
        <f>Лист1!I395</f>
        <v>0</v>
      </c>
      <c r="D425" s="111">
        <v>0</v>
      </c>
      <c r="E425" s="172">
        <v>0</v>
      </c>
      <c r="F425" s="108"/>
    </row>
    <row r="426" spans="1:6" x14ac:dyDescent="0.25">
      <c r="A426" s="186">
        <f>'изм. 31'!A428</f>
        <v>326</v>
      </c>
      <c r="B426" s="104" t="str">
        <f>'изм. 31'!B386</f>
        <v>2.      Прочие нужды</v>
      </c>
      <c r="C426" s="106"/>
      <c r="D426" s="111"/>
      <c r="E426" s="172"/>
      <c r="F426" s="108"/>
    </row>
    <row r="427" spans="1:6" x14ac:dyDescent="0.25">
      <c r="A427" s="186">
        <f>'изм. 31'!A429</f>
        <v>327</v>
      </c>
      <c r="B427" s="98" t="str">
        <f>'изм. 31'!B387</f>
        <v>Всего по направлению "Прочие нужды", в том числе:</v>
      </c>
      <c r="C427" s="109">
        <f>C428+C429+C430+C431</f>
        <v>0</v>
      </c>
      <c r="D427" s="109">
        <f>D428+D429+D430+D431</f>
        <v>0</v>
      </c>
      <c r="E427" s="173">
        <v>0</v>
      </c>
      <c r="F427" s="108"/>
    </row>
    <row r="428" spans="1:6" x14ac:dyDescent="0.25">
      <c r="A428" s="186">
        <f>'изм. 31'!A430</f>
        <v>328</v>
      </c>
      <c r="B428" s="98" t="str">
        <f>'изм. 31'!B388</f>
        <v>федеральный бюджет</v>
      </c>
      <c r="C428" s="106">
        <f>Лист1!I398</f>
        <v>0</v>
      </c>
      <c r="D428" s="111">
        <f>D433+D459</f>
        <v>0</v>
      </c>
      <c r="E428" s="172">
        <v>0</v>
      </c>
      <c r="F428" s="108"/>
    </row>
    <row r="429" spans="1:6" x14ac:dyDescent="0.25">
      <c r="A429" s="186">
        <f>'изм. 31'!A431</f>
        <v>329</v>
      </c>
      <c r="B429" s="98" t="str">
        <f>'изм. 31'!B389</f>
        <v>областной бюджет</v>
      </c>
      <c r="C429" s="106">
        <f>Лист1!I399</f>
        <v>0</v>
      </c>
      <c r="D429" s="111">
        <f>D434+D460</f>
        <v>0</v>
      </c>
      <c r="E429" s="172">
        <v>0</v>
      </c>
      <c r="F429" s="108"/>
    </row>
    <row r="430" spans="1:6" x14ac:dyDescent="0.25">
      <c r="A430" s="186">
        <f>'изм. 31'!A432</f>
        <v>330</v>
      </c>
      <c r="B430" s="98" t="str">
        <f>'изм. 31'!B390</f>
        <v>местный бюджет</v>
      </c>
      <c r="C430" s="106">
        <v>0</v>
      </c>
      <c r="D430" s="111">
        <f>D435+D461</f>
        <v>0</v>
      </c>
      <c r="E430" s="172">
        <v>0</v>
      </c>
      <c r="F430" s="108"/>
    </row>
    <row r="431" spans="1:6" x14ac:dyDescent="0.25">
      <c r="A431" s="186">
        <f>'изм. 31'!A433</f>
        <v>331</v>
      </c>
      <c r="B431" s="98" t="str">
        <f>'изм. 31'!B391</f>
        <v>внебюджетные источники</v>
      </c>
      <c r="C431" s="106">
        <f>Лист1!I401</f>
        <v>0</v>
      </c>
      <c r="D431" s="111">
        <f>D436+D462</f>
        <v>0</v>
      </c>
      <c r="E431" s="172">
        <v>0</v>
      </c>
      <c r="F431" s="108"/>
    </row>
    <row r="432" spans="1:6" ht="72.75" x14ac:dyDescent="0.25">
      <c r="A432" s="186">
        <f>'изм. 31'!A434</f>
        <v>332</v>
      </c>
      <c r="B432" s="107" t="s">
        <v>260</v>
      </c>
      <c r="C432" s="109">
        <f>C433+C434+C435+C436</f>
        <v>0</v>
      </c>
      <c r="D432" s="109">
        <f>D433+D434+D435+D436</f>
        <v>0</v>
      </c>
      <c r="E432" s="173">
        <v>0</v>
      </c>
      <c r="F432" s="108"/>
    </row>
    <row r="433" spans="1:6" x14ac:dyDescent="0.25">
      <c r="A433" s="186">
        <f>'изм. 31'!A435</f>
        <v>333</v>
      </c>
      <c r="B433" s="98" t="str">
        <f>'изм. 31'!B393</f>
        <v>федеральный бюджет</v>
      </c>
      <c r="C433" s="106">
        <f>Лист1!I403</f>
        <v>0</v>
      </c>
      <c r="D433" s="111">
        <v>0</v>
      </c>
      <c r="E433" s="172">
        <v>0</v>
      </c>
      <c r="F433" s="108"/>
    </row>
    <row r="434" spans="1:6" x14ac:dyDescent="0.25">
      <c r="A434" s="186">
        <f>'изм. 31'!A436</f>
        <v>334</v>
      </c>
      <c r="B434" s="98" t="str">
        <f>'изм. 31'!B394</f>
        <v>областной бюджет</v>
      </c>
      <c r="C434" s="106">
        <f>Лист1!I404</f>
        <v>0</v>
      </c>
      <c r="D434" s="111">
        <v>0</v>
      </c>
      <c r="E434" s="172">
        <v>0</v>
      </c>
      <c r="F434" s="108"/>
    </row>
    <row r="435" spans="1:6" x14ac:dyDescent="0.25">
      <c r="A435" s="186">
        <f>'изм. 31'!A437</f>
        <v>335</v>
      </c>
      <c r="B435" s="98" t="str">
        <f>'изм. 31'!B395</f>
        <v>местный бюджет</v>
      </c>
      <c r="C435" s="106">
        <v>0</v>
      </c>
      <c r="D435" s="111">
        <v>0</v>
      </c>
      <c r="E435" s="172">
        <v>0</v>
      </c>
      <c r="F435" s="108"/>
    </row>
    <row r="436" spans="1:6" x14ac:dyDescent="0.25">
      <c r="A436" s="186">
        <f>'изм. 31'!A438</f>
        <v>336</v>
      </c>
      <c r="B436" s="98" t="str">
        <f>'изм. 31'!B396</f>
        <v>внебюджетные источники</v>
      </c>
      <c r="C436" s="106">
        <f>Лист1!I406</f>
        <v>0</v>
      </c>
      <c r="D436" s="111">
        <v>0</v>
      </c>
      <c r="E436" s="172">
        <v>0</v>
      </c>
      <c r="F436" s="108"/>
    </row>
    <row r="437" spans="1:6" ht="36.75" hidden="1" x14ac:dyDescent="0.25">
      <c r="A437" s="186">
        <f>'изм. 31'!A439</f>
        <v>337</v>
      </c>
      <c r="B437" s="98" t="str">
        <f>'изм. 31'!B397</f>
        <v>Мероприятие 17.1. Обеспечение проведения необходимых мероприятий в муниципальных библиотеках, всего, из них:</v>
      </c>
      <c r="C437" s="109">
        <f>Лист1!I407</f>
        <v>0</v>
      </c>
      <c r="D437" s="111"/>
      <c r="E437" s="172" t="e">
        <f t="shared" ref="E437:E464" si="14">D437/C437*100+IF(D437/C437=0,0,D437/C437/100)</f>
        <v>#DIV/0!</v>
      </c>
      <c r="F437" s="108"/>
    </row>
    <row r="438" spans="1:6" hidden="1" x14ac:dyDescent="0.25">
      <c r="A438" s="186">
        <f>'изм. 31'!A440</f>
        <v>338</v>
      </c>
      <c r="B438" s="98" t="str">
        <f>'изм. 31'!B398</f>
        <v>областной бюджет</v>
      </c>
      <c r="C438" s="109">
        <f>Лист1!I408</f>
        <v>0</v>
      </c>
      <c r="D438" s="111"/>
      <c r="E438" s="172" t="e">
        <f t="shared" si="14"/>
        <v>#DIV/0!</v>
      </c>
      <c r="F438" s="108"/>
    </row>
    <row r="439" spans="1:6" hidden="1" x14ac:dyDescent="0.25">
      <c r="A439" s="186">
        <f>'изм. 31'!A441</f>
        <v>339</v>
      </c>
      <c r="B439" s="98" t="str">
        <f>'изм. 31'!B399</f>
        <v>местный бюджет</v>
      </c>
      <c r="C439" s="109">
        <f>Лист1!I409</f>
        <v>0</v>
      </c>
      <c r="D439" s="111"/>
      <c r="E439" s="172" t="e">
        <f t="shared" si="14"/>
        <v>#DIV/0!</v>
      </c>
      <c r="F439" s="108"/>
    </row>
    <row r="440" spans="1:6" hidden="1" x14ac:dyDescent="0.25">
      <c r="A440" s="186">
        <f>'изм. 31'!A442</f>
        <v>340</v>
      </c>
      <c r="B440" s="98" t="str">
        <f>'изм. 31'!B400</f>
        <v>внебюджетные источники</v>
      </c>
      <c r="C440" s="109">
        <f>Лист1!I410</f>
        <v>0</v>
      </c>
      <c r="D440" s="111"/>
      <c r="E440" s="172" t="e">
        <f t="shared" si="14"/>
        <v>#DIV/0!</v>
      </c>
      <c r="F440" s="108"/>
    </row>
    <row r="441" spans="1:6" ht="36.75" hidden="1" x14ac:dyDescent="0.25">
      <c r="A441" s="186">
        <f>'изм. 31'!A443</f>
        <v>341</v>
      </c>
      <c r="B441" s="98" t="str">
        <f>'изм. 31'!B401</f>
        <v xml:space="preserve"> Мероприятие 17.2. Обеспечение проведения необходимых мероприятий в учреждениях культурно-досугового типа, всего, из них</v>
      </c>
      <c r="C441" s="109">
        <f>Лист1!I411</f>
        <v>0</v>
      </c>
      <c r="D441" s="111"/>
      <c r="E441" s="172" t="e">
        <f t="shared" si="14"/>
        <v>#DIV/0!</v>
      </c>
      <c r="F441" s="108"/>
    </row>
    <row r="442" spans="1:6" hidden="1" x14ac:dyDescent="0.25">
      <c r="A442" s="186">
        <f>'изм. 31'!A444</f>
        <v>342</v>
      </c>
      <c r="B442" s="98" t="str">
        <f>'изм. 31'!B402</f>
        <v>областной бюджет</v>
      </c>
      <c r="C442" s="109">
        <f>Лист1!I412</f>
        <v>0</v>
      </c>
      <c r="D442" s="111"/>
      <c r="E442" s="172" t="e">
        <f t="shared" si="14"/>
        <v>#DIV/0!</v>
      </c>
      <c r="F442" s="108"/>
    </row>
    <row r="443" spans="1:6" hidden="1" x14ac:dyDescent="0.25">
      <c r="A443" s="186">
        <f>'изм. 31'!A445</f>
        <v>343</v>
      </c>
      <c r="B443" s="98" t="str">
        <f>'изм. 31'!B403</f>
        <v>местный бюджет</v>
      </c>
      <c r="C443" s="109">
        <f>Лист1!I413</f>
        <v>0</v>
      </c>
      <c r="D443" s="111"/>
      <c r="E443" s="172" t="e">
        <f t="shared" si="14"/>
        <v>#DIV/0!</v>
      </c>
      <c r="F443" s="108"/>
    </row>
    <row r="444" spans="1:6" hidden="1" x14ac:dyDescent="0.25">
      <c r="A444" s="186">
        <f>'изм. 31'!A446</f>
        <v>344</v>
      </c>
      <c r="B444" s="98" t="str">
        <f>'изм. 31'!B404</f>
        <v>внебюджетные источники</v>
      </c>
      <c r="C444" s="109">
        <f>Лист1!I414</f>
        <v>0</v>
      </c>
      <c r="D444" s="111"/>
      <c r="E444" s="172" t="e">
        <f t="shared" si="14"/>
        <v>#DIV/0!</v>
      </c>
      <c r="F444" s="108"/>
    </row>
    <row r="445" spans="1:6" ht="36.75" hidden="1" x14ac:dyDescent="0.25">
      <c r="A445" s="186">
        <f>'изм. 31'!A447</f>
        <v>345</v>
      </c>
      <c r="B445" s="98" t="str">
        <f>'изм. 31'!B405</f>
        <v>Мероприятие 17.3. Обеспечение проведения необходимых мероприятий в образовательных организациях (учреждениях), всего, из них</v>
      </c>
      <c r="C445" s="109">
        <f>Лист1!I415</f>
        <v>0</v>
      </c>
      <c r="D445" s="111"/>
      <c r="E445" s="172" t="e">
        <f t="shared" si="14"/>
        <v>#DIV/0!</v>
      </c>
      <c r="F445" s="108"/>
    </row>
    <row r="446" spans="1:6" hidden="1" x14ac:dyDescent="0.25">
      <c r="A446" s="186">
        <f>'изм. 31'!A448</f>
        <v>346</v>
      </c>
      <c r="B446" s="98" t="str">
        <f>'изм. 31'!B406</f>
        <v>областной бюджет</v>
      </c>
      <c r="C446" s="109">
        <f>Лист1!I416</f>
        <v>0</v>
      </c>
      <c r="D446" s="111"/>
      <c r="E446" s="172" t="e">
        <f t="shared" si="14"/>
        <v>#DIV/0!</v>
      </c>
      <c r="F446" s="108"/>
    </row>
    <row r="447" spans="1:6" hidden="1" x14ac:dyDescent="0.25">
      <c r="A447" s="186">
        <f>'изм. 31'!A449</f>
        <v>347</v>
      </c>
      <c r="B447" s="98" t="str">
        <f>'изм. 31'!B407</f>
        <v>местный бюджет</v>
      </c>
      <c r="C447" s="109">
        <f>Лист1!I417</f>
        <v>0</v>
      </c>
      <c r="D447" s="111"/>
      <c r="E447" s="172" t="e">
        <f t="shared" si="14"/>
        <v>#DIV/0!</v>
      </c>
      <c r="F447" s="108"/>
    </row>
    <row r="448" spans="1:6" hidden="1" x14ac:dyDescent="0.25">
      <c r="A448" s="186">
        <f>'изм. 31'!A450</f>
        <v>348</v>
      </c>
      <c r="B448" s="98" t="str">
        <f>'изм. 31'!B408</f>
        <v>внебюджетные источники</v>
      </c>
      <c r="C448" s="109">
        <f>Лист1!I418</f>
        <v>0</v>
      </c>
      <c r="D448" s="111"/>
      <c r="E448" s="172" t="e">
        <f t="shared" si="14"/>
        <v>#DIV/0!</v>
      </c>
      <c r="F448" s="108"/>
    </row>
    <row r="449" spans="1:6" ht="36.75" hidden="1" x14ac:dyDescent="0.25">
      <c r="A449" s="186">
        <f>'изм. 31'!A451</f>
        <v>349</v>
      </c>
      <c r="B449" s="98" t="str">
        <f>'изм. 31'!B409</f>
        <v>Мероприятие 17.4. Обеспечение проведения необходимых мероприятий в здании Кушвинского городского музея, всего, из них</v>
      </c>
      <c r="C449" s="109">
        <f>Лист1!I419</f>
        <v>0</v>
      </c>
      <c r="D449" s="111"/>
      <c r="E449" s="172" t="e">
        <f t="shared" si="14"/>
        <v>#DIV/0!</v>
      </c>
      <c r="F449" s="108"/>
    </row>
    <row r="450" spans="1:6" hidden="1" x14ac:dyDescent="0.25">
      <c r="A450" s="186">
        <f>'изм. 31'!A452</f>
        <v>350</v>
      </c>
      <c r="B450" s="98" t="str">
        <f>'изм. 31'!B410</f>
        <v>областной бюджет</v>
      </c>
      <c r="C450" s="109">
        <f>Лист1!I420</f>
        <v>0</v>
      </c>
      <c r="D450" s="111"/>
      <c r="E450" s="172" t="e">
        <f t="shared" si="14"/>
        <v>#DIV/0!</v>
      </c>
      <c r="F450" s="108"/>
    </row>
    <row r="451" spans="1:6" hidden="1" x14ac:dyDescent="0.25">
      <c r="A451" s="186">
        <f>'изм. 31'!A453</f>
        <v>351</v>
      </c>
      <c r="B451" s="98" t="str">
        <f>'изм. 31'!B411</f>
        <v>местный бюджет</v>
      </c>
      <c r="C451" s="109">
        <f>Лист1!I421</f>
        <v>0</v>
      </c>
      <c r="D451" s="111"/>
      <c r="E451" s="172" t="e">
        <f t="shared" si="14"/>
        <v>#DIV/0!</v>
      </c>
      <c r="F451" s="108"/>
    </row>
    <row r="452" spans="1:6" hidden="1" x14ac:dyDescent="0.25">
      <c r="A452" s="186">
        <f>'изм. 31'!A454</f>
        <v>352</v>
      </c>
      <c r="B452" s="98" t="str">
        <f>'изм. 31'!B412</f>
        <v>внебюджетные источники</v>
      </c>
      <c r="C452" s="109">
        <f>Лист1!I422</f>
        <v>0</v>
      </c>
      <c r="D452" s="111"/>
      <c r="E452" s="172" t="e">
        <f t="shared" si="14"/>
        <v>#DIV/0!</v>
      </c>
      <c r="F452" s="108"/>
    </row>
    <row r="453" spans="1:6" ht="60.75" hidden="1" x14ac:dyDescent="0.25">
      <c r="A453" s="186">
        <f>'изм. 31'!A455</f>
        <v>353</v>
      </c>
      <c r="B453" s="107" t="str">
        <f>'изм. 31'!B413</f>
        <v>Мероприятие 25.1. Погашение кредиторской задолженности по принятым обязательствам, возникшим в текущем финансовом году и не выполненным на начало очередного финансового года</v>
      </c>
      <c r="C453" s="109">
        <f>Лист1!I423</f>
        <v>0</v>
      </c>
      <c r="D453" s="110">
        <v>0</v>
      </c>
      <c r="E453" s="173">
        <v>0</v>
      </c>
      <c r="F453" s="108"/>
    </row>
    <row r="454" spans="1:6" hidden="1" x14ac:dyDescent="0.25">
      <c r="A454" s="186">
        <f>'изм. 31'!A456</f>
        <v>354</v>
      </c>
      <c r="B454" s="98" t="str">
        <f>'изм. 31'!B414</f>
        <v>федеральный бюджет</v>
      </c>
      <c r="C454" s="109">
        <f>Лист1!I424</f>
        <v>0</v>
      </c>
      <c r="D454" s="111">
        <v>0</v>
      </c>
      <c r="E454" s="172">
        <v>0</v>
      </c>
      <c r="F454" s="108"/>
    </row>
    <row r="455" spans="1:6" hidden="1" x14ac:dyDescent="0.25">
      <c r="A455" s="186">
        <f>'изм. 31'!A457</f>
        <v>355</v>
      </c>
      <c r="B455" s="98" t="str">
        <f>'изм. 31'!B415</f>
        <v>областной бюджет</v>
      </c>
      <c r="C455" s="109">
        <f>Лист1!I425</f>
        <v>0</v>
      </c>
      <c r="D455" s="111">
        <v>0</v>
      </c>
      <c r="E455" s="172">
        <v>0</v>
      </c>
      <c r="F455" s="108"/>
    </row>
    <row r="456" spans="1:6" hidden="1" x14ac:dyDescent="0.25">
      <c r="A456" s="186">
        <f>'изм. 31'!A458</f>
        <v>356</v>
      </c>
      <c r="B456" s="98" t="str">
        <f>'изм. 31'!B416</f>
        <v>местный бюджет</v>
      </c>
      <c r="C456" s="109">
        <f>Лист1!I426</f>
        <v>0</v>
      </c>
      <c r="D456" s="111">
        <v>0</v>
      </c>
      <c r="E456" s="172">
        <v>0</v>
      </c>
      <c r="F456" s="108"/>
    </row>
    <row r="457" spans="1:6" hidden="1" x14ac:dyDescent="0.25">
      <c r="A457" s="186">
        <f>'изм. 31'!A459</f>
        <v>357</v>
      </c>
      <c r="B457" s="98" t="str">
        <f>'изм. 31'!B417</f>
        <v>внебюджетные источники</v>
      </c>
      <c r="C457" s="109">
        <f>Лист1!I427</f>
        <v>0</v>
      </c>
      <c r="D457" s="111">
        <v>0</v>
      </c>
      <c r="E457" s="172">
        <v>0</v>
      </c>
      <c r="F457" s="108"/>
    </row>
    <row r="458" spans="1:6" ht="48.75" x14ac:dyDescent="0.25">
      <c r="A458" s="186">
        <f>'изм. 31'!A460</f>
        <v>358</v>
      </c>
      <c r="B458" s="107" t="s">
        <v>261</v>
      </c>
      <c r="C458" s="109">
        <f>C459+C460+C461+C462</f>
        <v>0</v>
      </c>
      <c r="D458" s="109">
        <f>D459+D460+D461+D462</f>
        <v>0</v>
      </c>
      <c r="E458" s="173">
        <v>0</v>
      </c>
      <c r="F458" s="108"/>
    </row>
    <row r="459" spans="1:6" x14ac:dyDescent="0.25">
      <c r="A459" s="186">
        <f>'изм. 31'!A461</f>
        <v>359</v>
      </c>
      <c r="B459" s="98" t="str">
        <f>'изм. 31'!B419</f>
        <v>федеральный бюджет</v>
      </c>
      <c r="C459" s="106">
        <f>Лист1!I429</f>
        <v>0</v>
      </c>
      <c r="D459" s="111">
        <v>0</v>
      </c>
      <c r="E459" s="172">
        <v>0</v>
      </c>
      <c r="F459" s="108"/>
    </row>
    <row r="460" spans="1:6" x14ac:dyDescent="0.25">
      <c r="A460" s="186">
        <f>'изм. 31'!A462</f>
        <v>360</v>
      </c>
      <c r="B460" s="98" t="str">
        <f>'изм. 31'!B420</f>
        <v>областной бюджет</v>
      </c>
      <c r="C460" s="106">
        <f>Лист1!I430</f>
        <v>0</v>
      </c>
      <c r="D460" s="111">
        <v>0</v>
      </c>
      <c r="E460" s="172">
        <v>0</v>
      </c>
      <c r="F460" s="108"/>
    </row>
    <row r="461" spans="1:6" x14ac:dyDescent="0.25">
      <c r="A461" s="186">
        <f>'изм. 31'!A463</f>
        <v>378</v>
      </c>
      <c r="B461" s="98" t="str">
        <f>'изм. 31'!B421</f>
        <v>местный бюджет</v>
      </c>
      <c r="C461" s="106">
        <v>0</v>
      </c>
      <c r="D461" s="111">
        <v>0</v>
      </c>
      <c r="E461" s="172">
        <v>0</v>
      </c>
      <c r="F461" s="108"/>
    </row>
    <row r="462" spans="1:6" x14ac:dyDescent="0.25">
      <c r="A462" s="186">
        <f>'изм. 31'!A464</f>
        <v>379</v>
      </c>
      <c r="B462" s="98" t="str">
        <f>'изм. 31'!B422</f>
        <v>внебюджетные источники</v>
      </c>
      <c r="C462" s="106">
        <f>Лист1!I432</f>
        <v>0</v>
      </c>
      <c r="D462" s="111">
        <v>0</v>
      </c>
      <c r="E462" s="172">
        <v>0</v>
      </c>
      <c r="F462" s="108"/>
    </row>
    <row r="463" spans="1:6" ht="48.75" customHeight="1" x14ac:dyDescent="0.25">
      <c r="A463" s="186">
        <f>'изм. 31'!A465</f>
        <v>380</v>
      </c>
      <c r="B463" s="192" t="str">
        <f>'изм. 31'!B428</f>
        <v>ПОДПРОГРАММА 5 «УКРЕПЛЕНИЕ ЕДИНСТВА РОССИЙСКОЙ НАЦИИ И ЭТНОКУЛЬТУРНОЕ РАЗВИТИЕ НАРОДОВ, ПРОЖИВАЮЩИХ В КУШВИНСКОМ ГОРОДСКОМ ОКРУГЕ»</v>
      </c>
      <c r="C463" s="193"/>
      <c r="D463" s="193"/>
      <c r="E463" s="193"/>
      <c r="F463" s="194"/>
    </row>
    <row r="464" spans="1:6" x14ac:dyDescent="0.25">
      <c r="A464" s="186">
        <f>'изм. 31'!A466</f>
        <v>352</v>
      </c>
      <c r="B464" s="104" t="str">
        <f>'изм. 31'!B429</f>
        <v xml:space="preserve"> Всего по подпрограмме, в том числе:</v>
      </c>
      <c r="C464" s="109">
        <f>C465+C466+C467+C468</f>
        <v>123906</v>
      </c>
      <c r="D464" s="110">
        <f>SUM(D465:D468)</f>
        <v>123906</v>
      </c>
      <c r="E464" s="173">
        <f t="shared" si="14"/>
        <v>100.01</v>
      </c>
      <c r="F464" s="108"/>
    </row>
    <row r="465" spans="1:6" x14ac:dyDescent="0.25">
      <c r="A465" s="186">
        <f>'изм. 31'!A467</f>
        <v>353</v>
      </c>
      <c r="B465" s="98" t="str">
        <f>'изм. 31'!B430</f>
        <v>федеральный бюджет</v>
      </c>
      <c r="C465" s="106">
        <f>C471+C489</f>
        <v>0</v>
      </c>
      <c r="D465" s="111">
        <v>0</v>
      </c>
      <c r="E465" s="172">
        <v>0</v>
      </c>
      <c r="F465" s="108"/>
    </row>
    <row r="466" spans="1:6" x14ac:dyDescent="0.25">
      <c r="A466" s="186">
        <f>'изм. 31'!A468</f>
        <v>354</v>
      </c>
      <c r="B466" s="98" t="str">
        <f>'изм. 31'!B431</f>
        <v>областной бюджет</v>
      </c>
      <c r="C466" s="106">
        <f>C472+C490</f>
        <v>0</v>
      </c>
      <c r="D466" s="111">
        <v>0</v>
      </c>
      <c r="E466" s="172">
        <v>0</v>
      </c>
      <c r="F466" s="108"/>
    </row>
    <row r="467" spans="1:6" x14ac:dyDescent="0.25">
      <c r="A467" s="186">
        <f>'изм. 31'!A469</f>
        <v>355</v>
      </c>
      <c r="B467" s="98" t="str">
        <f>'изм. 31'!B432</f>
        <v>местный бюджет</v>
      </c>
      <c r="C467" s="106">
        <f>C473+C491</f>
        <v>123906</v>
      </c>
      <c r="D467" s="111">
        <f>D491</f>
        <v>123906</v>
      </c>
      <c r="E467" s="172">
        <f t="shared" ref="E467:E513" si="15">D467/C467*100+IF(D467/C467=0,0,D467/C467/100)</f>
        <v>100.01</v>
      </c>
      <c r="F467" s="108"/>
    </row>
    <row r="468" spans="1:6" x14ac:dyDescent="0.25">
      <c r="A468" s="186">
        <f>'изм. 31'!A470</f>
        <v>356</v>
      </c>
      <c r="B468" s="98" t="str">
        <f>'изм. 31'!B433</f>
        <v>внебюджетные источники</v>
      </c>
      <c r="C468" s="106">
        <f>C474+C492</f>
        <v>0</v>
      </c>
      <c r="D468" s="111">
        <v>0</v>
      </c>
      <c r="E468" s="172">
        <v>0</v>
      </c>
      <c r="F468" s="108"/>
    </row>
    <row r="469" spans="1:6" x14ac:dyDescent="0.25">
      <c r="A469" s="186">
        <f>'изм. 31'!A471</f>
        <v>357</v>
      </c>
      <c r="B469" s="104" t="str">
        <f>'изм. 31'!B434</f>
        <v>1.      Капитальные вложения</v>
      </c>
      <c r="C469" s="106"/>
      <c r="D469" s="111"/>
      <c r="E469" s="172"/>
      <c r="F469" s="108"/>
    </row>
    <row r="470" spans="1:6" ht="24.75" x14ac:dyDescent="0.25">
      <c r="A470" s="186">
        <f>'изм. 31'!A472</f>
        <v>358</v>
      </c>
      <c r="B470" s="98" t="str">
        <f>'изм. 31'!B435</f>
        <v xml:space="preserve"> Всего по направлению «Капитальные вложения», в том числе:</v>
      </c>
      <c r="C470" s="109">
        <f>Лист1!I445</f>
        <v>0</v>
      </c>
      <c r="D470" s="110">
        <f>SUM(D471:D474)</f>
        <v>0</v>
      </c>
      <c r="E470" s="173">
        <v>0</v>
      </c>
      <c r="F470" s="108"/>
    </row>
    <row r="471" spans="1:6" x14ac:dyDescent="0.25">
      <c r="A471" s="186">
        <f>'изм. 31'!A473</f>
        <v>359</v>
      </c>
      <c r="B471" s="98" t="str">
        <f>'изм. 31'!B436</f>
        <v>федеральный бюджет</v>
      </c>
      <c r="C471" s="106">
        <f>Лист1!I446</f>
        <v>0</v>
      </c>
      <c r="D471" s="111">
        <v>0</v>
      </c>
      <c r="E471" s="172">
        <v>0</v>
      </c>
      <c r="F471" s="108"/>
    </row>
    <row r="472" spans="1:6" x14ac:dyDescent="0.25">
      <c r="A472" s="186">
        <f>'изм. 31'!A474</f>
        <v>360</v>
      </c>
      <c r="B472" s="98" t="str">
        <f>'изм. 31'!B437</f>
        <v>областной бюджет</v>
      </c>
      <c r="C472" s="106">
        <f>Лист1!I447</f>
        <v>0</v>
      </c>
      <c r="D472" s="111">
        <v>0</v>
      </c>
      <c r="E472" s="172">
        <v>0</v>
      </c>
      <c r="F472" s="108"/>
    </row>
    <row r="473" spans="1:6" x14ac:dyDescent="0.25">
      <c r="A473" s="186">
        <f>'изм. 31'!A475</f>
        <v>361</v>
      </c>
      <c r="B473" s="98" t="str">
        <f>'изм. 31'!B438</f>
        <v>местный бюджет</v>
      </c>
      <c r="C473" s="106">
        <f>Лист1!I448</f>
        <v>0</v>
      </c>
      <c r="D473" s="111">
        <v>0</v>
      </c>
      <c r="E473" s="172">
        <v>0</v>
      </c>
      <c r="F473" s="108"/>
    </row>
    <row r="474" spans="1:6" x14ac:dyDescent="0.25">
      <c r="A474" s="186">
        <f>'изм. 31'!A476</f>
        <v>362</v>
      </c>
      <c r="B474" s="98" t="str">
        <f>'изм. 31'!B439</f>
        <v>внебюджетные источники</v>
      </c>
      <c r="C474" s="106">
        <f>Лист1!I449</f>
        <v>0</v>
      </c>
      <c r="D474" s="111">
        <v>0</v>
      </c>
      <c r="E474" s="172">
        <v>0</v>
      </c>
      <c r="F474" s="108"/>
    </row>
    <row r="475" spans="1:6" ht="24.75" hidden="1" x14ac:dyDescent="0.25">
      <c r="A475" s="186">
        <f>'изм. 31'!A477</f>
        <v>363</v>
      </c>
      <c r="B475" s="105" t="str">
        <f>'изм. 31'!B440</f>
        <v>1.1. Бюджетные инвестиции в объекты капитального строительства</v>
      </c>
      <c r="C475" s="106">
        <f>Лист1!H450</f>
        <v>0</v>
      </c>
      <c r="D475" s="111">
        <v>0</v>
      </c>
      <c r="E475" s="172">
        <v>0</v>
      </c>
      <c r="F475" s="108"/>
    </row>
    <row r="476" spans="1:6" ht="24.75" hidden="1" x14ac:dyDescent="0.25">
      <c r="A476" s="186">
        <f>'изм. 31'!A478</f>
        <v>364</v>
      </c>
      <c r="B476" s="98" t="str">
        <f>'изм. 31'!B441</f>
        <v>Бюджетные инвестиции в объекты капитального строительства, всего, в том числе</v>
      </c>
      <c r="C476" s="106">
        <f>Лист1!H451</f>
        <v>0</v>
      </c>
      <c r="D476" s="111">
        <v>0</v>
      </c>
      <c r="E476" s="172">
        <v>0</v>
      </c>
      <c r="F476" s="108"/>
    </row>
    <row r="477" spans="1:6" hidden="1" x14ac:dyDescent="0.25">
      <c r="A477" s="186">
        <f>'изм. 31'!A479</f>
        <v>361</v>
      </c>
      <c r="B477" s="98" t="str">
        <f>'изм. 31'!B442</f>
        <v>федеральный бюджет</v>
      </c>
      <c r="C477" s="106">
        <f>Лист1!H452</f>
        <v>0</v>
      </c>
      <c r="D477" s="111">
        <v>0</v>
      </c>
      <c r="E477" s="172">
        <v>0</v>
      </c>
      <c r="F477" s="108"/>
    </row>
    <row r="478" spans="1:6" hidden="1" x14ac:dyDescent="0.25">
      <c r="A478" s="186">
        <f>'изм. 31'!A480</f>
        <v>362</v>
      </c>
      <c r="B478" s="98" t="str">
        <f>'изм. 31'!B443</f>
        <v>областной бюджет</v>
      </c>
      <c r="C478" s="106">
        <f>Лист1!H453</f>
        <v>0</v>
      </c>
      <c r="D478" s="111">
        <v>0</v>
      </c>
      <c r="E478" s="172">
        <v>0</v>
      </c>
      <c r="F478" s="108"/>
    </row>
    <row r="479" spans="1:6" hidden="1" x14ac:dyDescent="0.25">
      <c r="A479" s="186">
        <f>'изм. 31'!A481</f>
        <v>363</v>
      </c>
      <c r="B479" s="98" t="str">
        <f>'изм. 31'!B444</f>
        <v>местный бюджет</v>
      </c>
      <c r="C479" s="106">
        <f>Лист1!H454</f>
        <v>0</v>
      </c>
      <c r="D479" s="111">
        <v>0</v>
      </c>
      <c r="E479" s="172">
        <v>0</v>
      </c>
      <c r="F479" s="108"/>
    </row>
    <row r="480" spans="1:6" hidden="1" x14ac:dyDescent="0.25">
      <c r="A480" s="186">
        <f>'изм. 31'!A482</f>
        <v>364</v>
      </c>
      <c r="B480" s="98" t="str">
        <f>'изм. 31'!B445</f>
        <v>внебюджетные источники</v>
      </c>
      <c r="C480" s="106">
        <f>Лист1!H455</f>
        <v>0</v>
      </c>
      <c r="D480" s="111">
        <v>0</v>
      </c>
      <c r="E480" s="172">
        <v>0</v>
      </c>
      <c r="F480" s="108"/>
    </row>
    <row r="481" spans="1:6" hidden="1" x14ac:dyDescent="0.25">
      <c r="A481" s="186">
        <f>'изм. 31'!A483</f>
        <v>365</v>
      </c>
      <c r="B481" s="105" t="str">
        <f>'изм. 31'!B446</f>
        <v>1.2. Иные капитальные вложения</v>
      </c>
      <c r="C481" s="106">
        <f>Лист1!H456</f>
        <v>0</v>
      </c>
      <c r="D481" s="111">
        <v>0</v>
      </c>
      <c r="E481" s="172">
        <v>0</v>
      </c>
      <c r="F481" s="108"/>
    </row>
    <row r="482" spans="1:6" hidden="1" x14ac:dyDescent="0.25">
      <c r="A482" s="186">
        <f>'изм. 31'!A484</f>
        <v>366</v>
      </c>
      <c r="B482" s="98" t="str">
        <f>'изм. 31'!B447</f>
        <v>Иные капитальные вложения, всего, в том числе</v>
      </c>
      <c r="C482" s="106">
        <f>Лист1!H457</f>
        <v>0</v>
      </c>
      <c r="D482" s="111">
        <v>0</v>
      </c>
      <c r="E482" s="172">
        <v>0</v>
      </c>
      <c r="F482" s="108"/>
    </row>
    <row r="483" spans="1:6" hidden="1" x14ac:dyDescent="0.25">
      <c r="A483" s="186">
        <f>'изм. 31'!A485</f>
        <v>367</v>
      </c>
      <c r="B483" s="98" t="str">
        <f>'изм. 31'!B448</f>
        <v>федеральный бюджет</v>
      </c>
      <c r="C483" s="106">
        <f>Лист1!H458</f>
        <v>0</v>
      </c>
      <c r="D483" s="111">
        <v>0</v>
      </c>
      <c r="E483" s="172">
        <v>0</v>
      </c>
      <c r="F483" s="108"/>
    </row>
    <row r="484" spans="1:6" hidden="1" x14ac:dyDescent="0.25">
      <c r="A484" s="186">
        <f>'изм. 31'!A486</f>
        <v>368</v>
      </c>
      <c r="B484" s="98" t="str">
        <f>'изм. 31'!B449</f>
        <v>областной бюджет</v>
      </c>
      <c r="C484" s="106">
        <f>Лист1!H459</f>
        <v>0</v>
      </c>
      <c r="D484" s="111">
        <v>0</v>
      </c>
      <c r="E484" s="172">
        <v>0</v>
      </c>
      <c r="F484" s="108"/>
    </row>
    <row r="485" spans="1:6" hidden="1" x14ac:dyDescent="0.25">
      <c r="A485" s="186">
        <f>'изм. 31'!A487</f>
        <v>369</v>
      </c>
      <c r="B485" s="98" t="str">
        <f>'изм. 31'!B450</f>
        <v>местный бюджет</v>
      </c>
      <c r="C485" s="106">
        <f>Лист1!H460</f>
        <v>0</v>
      </c>
      <c r="D485" s="111">
        <v>0</v>
      </c>
      <c r="E485" s="172">
        <v>0</v>
      </c>
      <c r="F485" s="108"/>
    </row>
    <row r="486" spans="1:6" hidden="1" x14ac:dyDescent="0.25">
      <c r="A486" s="186">
        <f>'изм. 31'!A488</f>
        <v>370</v>
      </c>
      <c r="B486" s="98" t="str">
        <f>'изм. 31'!B451</f>
        <v>внебюджетные источники</v>
      </c>
      <c r="C486" s="106">
        <f>Лист1!H461</f>
        <v>0</v>
      </c>
      <c r="D486" s="111">
        <v>0</v>
      </c>
      <c r="E486" s="172">
        <v>0</v>
      </c>
      <c r="F486" s="108"/>
    </row>
    <row r="487" spans="1:6" x14ac:dyDescent="0.25">
      <c r="A487" s="186">
        <f>'изм. 31'!A489</f>
        <v>371</v>
      </c>
      <c r="B487" s="104" t="str">
        <f>'изм. 31'!B452</f>
        <v>2.      Прочие нужды</v>
      </c>
      <c r="C487" s="106"/>
      <c r="D487" s="111"/>
      <c r="E487" s="172"/>
      <c r="F487" s="108"/>
    </row>
    <row r="488" spans="1:6" x14ac:dyDescent="0.25">
      <c r="A488" s="186">
        <f>'изм. 31'!A490</f>
        <v>372</v>
      </c>
      <c r="B488" s="98" t="str">
        <f>'изм. 31'!B453</f>
        <v xml:space="preserve"> Всего по направлению "Прочие нужды", в том числе:</v>
      </c>
      <c r="C488" s="109">
        <f>C489+C490+C491+C492</f>
        <v>123906</v>
      </c>
      <c r="D488" s="109">
        <f>D489+D490+D491+D492</f>
        <v>123906</v>
      </c>
      <c r="E488" s="173">
        <f t="shared" si="15"/>
        <v>100.01</v>
      </c>
      <c r="F488" s="108"/>
    </row>
    <row r="489" spans="1:6" x14ac:dyDescent="0.25">
      <c r="A489" s="186">
        <f>'изм. 31'!A491</f>
        <v>373</v>
      </c>
      <c r="B489" s="98" t="str">
        <f>'изм. 31'!B454</f>
        <v>федеральный бюджет</v>
      </c>
      <c r="C489" s="106">
        <f>C494</f>
        <v>0</v>
      </c>
      <c r="D489" s="111">
        <v>0</v>
      </c>
      <c r="E489" s="172">
        <v>0</v>
      </c>
      <c r="F489" s="108"/>
    </row>
    <row r="490" spans="1:6" x14ac:dyDescent="0.25">
      <c r="A490" s="186">
        <f>'изм. 31'!A492</f>
        <v>374</v>
      </c>
      <c r="B490" s="98" t="str">
        <f>'изм. 31'!B455</f>
        <v>областной бюджет</v>
      </c>
      <c r="C490" s="106">
        <f>C495</f>
        <v>0</v>
      </c>
      <c r="D490" s="111">
        <v>0</v>
      </c>
      <c r="E490" s="172">
        <v>0</v>
      </c>
      <c r="F490" s="108"/>
    </row>
    <row r="491" spans="1:6" x14ac:dyDescent="0.25">
      <c r="A491" s="186">
        <f>'изм. 31'!A493</f>
        <v>375</v>
      </c>
      <c r="B491" s="98" t="str">
        <f>'изм. 31'!B456</f>
        <v>местный бюджет</v>
      </c>
      <c r="C491" s="106">
        <f>C496</f>
        <v>123906</v>
      </c>
      <c r="D491" s="111">
        <f>D496</f>
        <v>123906</v>
      </c>
      <c r="E491" s="172">
        <f t="shared" si="15"/>
        <v>100.01</v>
      </c>
      <c r="F491" s="108"/>
    </row>
    <row r="492" spans="1:6" x14ac:dyDescent="0.25">
      <c r="A492" s="186">
        <f>'изм. 31'!A494</f>
        <v>376</v>
      </c>
      <c r="B492" s="98" t="str">
        <f>'изм. 31'!B457</f>
        <v>внебюджетные источники</v>
      </c>
      <c r="C492" s="106">
        <f>C497</f>
        <v>0</v>
      </c>
      <c r="D492" s="111">
        <v>0</v>
      </c>
      <c r="E492" s="172">
        <v>0</v>
      </c>
      <c r="F492" s="108"/>
    </row>
    <row r="493" spans="1:6" ht="60.75" x14ac:dyDescent="0.25">
      <c r="A493" s="186">
        <f>'изм. 31'!A495</f>
        <v>377</v>
      </c>
      <c r="B493" s="107" t="s">
        <v>262</v>
      </c>
      <c r="C493" s="109">
        <f>C494+C495+C496+C497</f>
        <v>123906</v>
      </c>
      <c r="D493" s="109">
        <f>D494+D495+D496+D497</f>
        <v>123906</v>
      </c>
      <c r="E493" s="173">
        <f>D493/C493*100+IF(D493/C493=0,0,D493/C493/100)</f>
        <v>100.01</v>
      </c>
      <c r="F493" s="108"/>
    </row>
    <row r="494" spans="1:6" x14ac:dyDescent="0.25">
      <c r="A494" s="186">
        <f>'изм. 31'!A496</f>
        <v>366</v>
      </c>
      <c r="B494" s="98" t="str">
        <f>'изм. 31'!B459</f>
        <v>федеральный бюджет</v>
      </c>
      <c r="C494" s="106">
        <f>Лист1!I469</f>
        <v>0</v>
      </c>
      <c r="D494" s="111">
        <v>0</v>
      </c>
      <c r="E494" s="172">
        <v>0</v>
      </c>
      <c r="F494" s="108"/>
    </row>
    <row r="495" spans="1:6" x14ac:dyDescent="0.25">
      <c r="A495" s="186">
        <f>'изм. 31'!A497</f>
        <v>367</v>
      </c>
      <c r="B495" s="98" t="str">
        <f>'изм. 31'!B460</f>
        <v>областной бюджет</v>
      </c>
      <c r="C495" s="106">
        <f>Лист1!I470</f>
        <v>0</v>
      </c>
      <c r="D495" s="111">
        <v>0</v>
      </c>
      <c r="E495" s="172">
        <v>0</v>
      </c>
      <c r="F495" s="108"/>
    </row>
    <row r="496" spans="1:6" x14ac:dyDescent="0.25">
      <c r="A496" s="186">
        <f>'изм. 31'!A498</f>
        <v>368</v>
      </c>
      <c r="B496" s="98" t="str">
        <f>'изм. 31'!B461</f>
        <v>местный бюджет</v>
      </c>
      <c r="C496" s="106">
        <v>123906</v>
      </c>
      <c r="D496" s="111">
        <v>123906</v>
      </c>
      <c r="E496" s="172">
        <f>D496/C496*100+IF(D496/C496=0,0,D496/C496/100)</f>
        <v>100.01</v>
      </c>
      <c r="F496" s="108"/>
    </row>
    <row r="497" spans="1:6" x14ac:dyDescent="0.25">
      <c r="A497" s="186">
        <f>'изм. 31'!A499</f>
        <v>369</v>
      </c>
      <c r="B497" s="98" t="str">
        <f>'изм. 31'!B462</f>
        <v>внебюджетные источники</v>
      </c>
      <c r="C497" s="106">
        <f>Лист1!I472</f>
        <v>0</v>
      </c>
      <c r="D497" s="111">
        <v>0</v>
      </c>
      <c r="E497" s="172">
        <v>0</v>
      </c>
      <c r="F497" s="108"/>
    </row>
    <row r="498" spans="1:6" ht="60.75" hidden="1" x14ac:dyDescent="0.25">
      <c r="A498" s="184">
        <f>'изм. 31'!A500</f>
        <v>370</v>
      </c>
      <c r="B498" s="98" t="str">
        <f>'изм. 31'!B463</f>
        <v>20.1. Разработка муниципальной правовой базы, регулирующей основные направления межнационального и межконфессионального взаимодействия на территории Кушвинского городского округа</v>
      </c>
      <c r="C498" s="106">
        <f>Лист1!G473</f>
        <v>0</v>
      </c>
      <c r="D498" s="177"/>
      <c r="E498" s="172" t="e">
        <f t="shared" si="15"/>
        <v>#DIV/0!</v>
      </c>
      <c r="F498" s="108"/>
    </row>
    <row r="499" spans="1:6" hidden="1" x14ac:dyDescent="0.25">
      <c r="A499" s="184">
        <f>'изм. 31'!A501</f>
        <v>371</v>
      </c>
      <c r="B499" s="98" t="str">
        <f>'изм. 31'!B464</f>
        <v>областной бюджет</v>
      </c>
      <c r="C499" s="106">
        <f>Лист1!G474</f>
        <v>0</v>
      </c>
      <c r="D499" s="177"/>
      <c r="E499" s="172" t="e">
        <f t="shared" si="15"/>
        <v>#DIV/0!</v>
      </c>
      <c r="F499" s="108"/>
    </row>
    <row r="500" spans="1:6" hidden="1" x14ac:dyDescent="0.25">
      <c r="A500" s="184">
        <f>'изм. 31'!A502</f>
        <v>372</v>
      </c>
      <c r="B500" s="98" t="str">
        <f>'изм. 31'!B465</f>
        <v>местный бюджет</v>
      </c>
      <c r="C500" s="106">
        <f>Лист1!G475</f>
        <v>0</v>
      </c>
      <c r="D500" s="177"/>
      <c r="E500" s="172" t="e">
        <f t="shared" si="15"/>
        <v>#DIV/0!</v>
      </c>
      <c r="F500" s="108"/>
    </row>
    <row r="501" spans="1:6" hidden="1" x14ac:dyDescent="0.25">
      <c r="A501" s="184">
        <f>'изм. 31'!A503</f>
        <v>373</v>
      </c>
      <c r="B501" s="98" t="str">
        <f>'изм. 31'!B466</f>
        <v>внебюджетные источники</v>
      </c>
      <c r="C501" s="106">
        <f>Лист1!G476</f>
        <v>0</v>
      </c>
      <c r="D501" s="177"/>
      <c r="E501" s="172" t="e">
        <f t="shared" si="15"/>
        <v>#DIV/0!</v>
      </c>
      <c r="F501" s="108"/>
    </row>
    <row r="502" spans="1:6" ht="36.75" hidden="1" x14ac:dyDescent="0.25">
      <c r="A502" s="184">
        <f>'изм. 31'!A504</f>
        <v>374</v>
      </c>
      <c r="B502" s="98" t="str">
        <f>'изм. 31'!B467</f>
        <v>20.2. Проведение мониторинга состояния работы по межнациональному и межконфессиональному взаимодействию на территории городского округа</v>
      </c>
      <c r="C502" s="106">
        <f>Лист1!G477</f>
        <v>0</v>
      </c>
      <c r="D502" s="177"/>
      <c r="E502" s="172" t="e">
        <f t="shared" si="15"/>
        <v>#DIV/0!</v>
      </c>
      <c r="F502" s="108"/>
    </row>
    <row r="503" spans="1:6" hidden="1" x14ac:dyDescent="0.25">
      <c r="A503" s="184">
        <f>'изм. 31'!A505</f>
        <v>375</v>
      </c>
      <c r="B503" s="98" t="str">
        <f>'изм. 31'!B468</f>
        <v>областной бюджет</v>
      </c>
      <c r="C503" s="106">
        <f>Лист1!G478</f>
        <v>0</v>
      </c>
      <c r="D503" s="177"/>
      <c r="E503" s="172" t="e">
        <f t="shared" si="15"/>
        <v>#DIV/0!</v>
      </c>
      <c r="F503" s="108"/>
    </row>
    <row r="504" spans="1:6" hidden="1" x14ac:dyDescent="0.25">
      <c r="A504" s="184">
        <f>'изм. 31'!A506</f>
        <v>364</v>
      </c>
      <c r="B504" s="98" t="str">
        <f>'изм. 31'!B469</f>
        <v>местный бюджет</v>
      </c>
      <c r="C504" s="106">
        <f>Лист1!G479</f>
        <v>0</v>
      </c>
      <c r="D504" s="177"/>
      <c r="E504" s="172" t="e">
        <f t="shared" si="15"/>
        <v>#DIV/0!</v>
      </c>
      <c r="F504" s="108"/>
    </row>
    <row r="505" spans="1:6" hidden="1" x14ac:dyDescent="0.25">
      <c r="A505" s="184">
        <f>'изм. 31'!A507</f>
        <v>365</v>
      </c>
      <c r="B505" s="98" t="str">
        <f>'изм. 31'!B470</f>
        <v>внебюджетные источники</v>
      </c>
      <c r="C505" s="106">
        <f>Лист1!G480</f>
        <v>0</v>
      </c>
      <c r="D505" s="177"/>
      <c r="E505" s="172" t="e">
        <f t="shared" si="15"/>
        <v>#DIV/0!</v>
      </c>
      <c r="F505" s="108"/>
    </row>
    <row r="506" spans="1:6" ht="48.75" hidden="1" x14ac:dyDescent="0.25">
      <c r="A506" s="184">
        <f>'изм. 31'!A508</f>
        <v>356</v>
      </c>
      <c r="B506" s="98" t="str">
        <f>'изм. 31'!B471</f>
        <v>20.3. Проведение мониторинга среди муниципальных библиотек в части наличия, состава, состояния и использования книжных фондов на языках народов России</v>
      </c>
      <c r="C506" s="106">
        <f>Лист1!G481</f>
        <v>0</v>
      </c>
      <c r="D506" s="177"/>
      <c r="E506" s="172" t="e">
        <f t="shared" si="15"/>
        <v>#DIV/0!</v>
      </c>
      <c r="F506" s="108"/>
    </row>
    <row r="507" spans="1:6" hidden="1" x14ac:dyDescent="0.25">
      <c r="A507" s="184">
        <f>'изм. 31'!A509</f>
        <v>357</v>
      </c>
      <c r="B507" s="98" t="str">
        <f>'изм. 31'!B472</f>
        <v>областной бюджет</v>
      </c>
      <c r="C507" s="106">
        <f>Лист1!G482</f>
        <v>0</v>
      </c>
      <c r="D507" s="177"/>
      <c r="E507" s="172" t="e">
        <f t="shared" si="15"/>
        <v>#DIV/0!</v>
      </c>
      <c r="F507" s="108"/>
    </row>
    <row r="508" spans="1:6" hidden="1" x14ac:dyDescent="0.25">
      <c r="A508" s="184">
        <f>'изм. 31'!A510</f>
        <v>358</v>
      </c>
      <c r="B508" s="98" t="str">
        <f>'изм. 31'!B473</f>
        <v>местный бюджет</v>
      </c>
      <c r="C508" s="106">
        <f>Лист1!G483</f>
        <v>0</v>
      </c>
      <c r="D508" s="177"/>
      <c r="E508" s="172" t="e">
        <f t="shared" si="15"/>
        <v>#DIV/0!</v>
      </c>
      <c r="F508" s="108"/>
    </row>
    <row r="509" spans="1:6" hidden="1" x14ac:dyDescent="0.25">
      <c r="A509" s="184">
        <f>'изм. 31'!A511</f>
        <v>359</v>
      </c>
      <c r="B509" s="98" t="str">
        <f>'изм. 31'!B474</f>
        <v>внебюджетные источники</v>
      </c>
      <c r="C509" s="106">
        <f>Лист1!G484</f>
        <v>0</v>
      </c>
      <c r="D509" s="177"/>
      <c r="E509" s="172" t="e">
        <f t="shared" si="15"/>
        <v>#DIV/0!</v>
      </c>
      <c r="F509" s="108"/>
    </row>
    <row r="510" spans="1:6" ht="36.75" hidden="1" x14ac:dyDescent="0.25">
      <c r="A510" s="184">
        <f>'изм. 31'!A512</f>
        <v>360</v>
      </c>
      <c r="B510" s="98" t="str">
        <f>'изм. 31'!B475</f>
        <v>20.4. Организация работы Консультативного совета по вопросам межнационального и межконфессионального взаимодействия</v>
      </c>
      <c r="C510" s="106">
        <f>Лист1!G485</f>
        <v>0</v>
      </c>
      <c r="D510" s="177"/>
      <c r="E510" s="172" t="e">
        <f t="shared" si="15"/>
        <v>#DIV/0!</v>
      </c>
      <c r="F510" s="108"/>
    </row>
    <row r="511" spans="1:6" hidden="1" x14ac:dyDescent="0.25">
      <c r="A511" s="184">
        <f>'изм. 31'!A513</f>
        <v>361</v>
      </c>
      <c r="B511" s="98" t="str">
        <f>'изм. 31'!B476</f>
        <v>областной бюджет</v>
      </c>
      <c r="C511" s="106">
        <f>Лист1!G486</f>
        <v>0</v>
      </c>
      <c r="D511" s="177"/>
      <c r="E511" s="172" t="e">
        <f t="shared" si="15"/>
        <v>#DIV/0!</v>
      </c>
      <c r="F511" s="108"/>
    </row>
    <row r="512" spans="1:6" hidden="1" x14ac:dyDescent="0.25">
      <c r="A512" s="184">
        <f>'изм. 31'!A514</f>
        <v>362</v>
      </c>
      <c r="B512" s="98" t="str">
        <f>'изм. 31'!B477</f>
        <v>местный бюджет</v>
      </c>
      <c r="C512" s="106">
        <f>Лист1!G487</f>
        <v>0</v>
      </c>
      <c r="D512" s="177"/>
      <c r="E512" s="172" t="e">
        <f t="shared" si="15"/>
        <v>#DIV/0!</v>
      </c>
      <c r="F512" s="108"/>
    </row>
    <row r="513" spans="1:6" hidden="1" x14ac:dyDescent="0.25">
      <c r="A513" s="184">
        <f>'изм. 31'!A515</f>
        <v>363</v>
      </c>
      <c r="B513" s="98" t="str">
        <f>'изм. 31'!B478</f>
        <v>внебюджетные источники</v>
      </c>
      <c r="C513" s="106">
        <f>Лист1!G488</f>
        <v>0</v>
      </c>
      <c r="D513" s="177"/>
      <c r="E513" s="172" t="e">
        <f t="shared" si="15"/>
        <v>#DIV/0!</v>
      </c>
      <c r="F513" s="108"/>
    </row>
    <row r="514" spans="1:6" ht="36.75" hidden="1" x14ac:dyDescent="0.25">
      <c r="A514" s="184">
        <f>'изм. 31'!A516</f>
        <v>364</v>
      </c>
      <c r="B514" s="98" t="str">
        <f>'изм. 31'!B506</f>
        <v xml:space="preserve">22.1. Организация создания и размещения в средствах массовой информации информационных материалов о многообразии национальных культур и религий </v>
      </c>
      <c r="C514" s="106">
        <f>Лист1!G516</f>
        <v>0</v>
      </c>
      <c r="D514" s="177"/>
      <c r="E514" s="172" t="e">
        <f t="shared" ref="E514:E564" si="16">D514/C514*100+IF(D514/C514=0,0,D514/C514/100)</f>
        <v>#DIV/0!</v>
      </c>
      <c r="F514" s="103"/>
    </row>
    <row r="515" spans="1:6" hidden="1" x14ac:dyDescent="0.25">
      <c r="A515" s="184">
        <f>'изм. 31'!A517</f>
        <v>365</v>
      </c>
      <c r="B515" s="98" t="str">
        <f>'изм. 31'!B507</f>
        <v>областной бюджет</v>
      </c>
      <c r="C515" s="106">
        <f>Лист1!G517</f>
        <v>0</v>
      </c>
      <c r="D515" s="177"/>
      <c r="E515" s="172" t="e">
        <f t="shared" si="16"/>
        <v>#DIV/0!</v>
      </c>
      <c r="F515" s="103"/>
    </row>
    <row r="516" spans="1:6" hidden="1" x14ac:dyDescent="0.25">
      <c r="A516" s="184">
        <f>'изм. 31'!A518</f>
        <v>376</v>
      </c>
      <c r="B516" s="98" t="str">
        <f>'изм. 31'!B508</f>
        <v>местный бюджет</v>
      </c>
      <c r="C516" s="106">
        <f>Лист1!G518</f>
        <v>0</v>
      </c>
      <c r="D516" s="177"/>
      <c r="E516" s="172" t="e">
        <f t="shared" si="16"/>
        <v>#DIV/0!</v>
      </c>
      <c r="F516" s="103"/>
    </row>
    <row r="517" spans="1:6" hidden="1" x14ac:dyDescent="0.25">
      <c r="A517" s="184">
        <f>'изм. 31'!A519</f>
        <v>377</v>
      </c>
      <c r="B517" s="98" t="str">
        <f>'изм. 31'!B509</f>
        <v>внебюджетные источники</v>
      </c>
      <c r="C517" s="106">
        <f>Лист1!G519</f>
        <v>0</v>
      </c>
      <c r="D517" s="177"/>
      <c r="E517" s="172" t="e">
        <f t="shared" si="16"/>
        <v>#DIV/0!</v>
      </c>
      <c r="F517" s="103"/>
    </row>
    <row r="518" spans="1:6" ht="36.75" hidden="1" x14ac:dyDescent="0.25">
      <c r="A518" s="184">
        <f>'изм. 31'!A520</f>
        <v>378</v>
      </c>
      <c r="B518" s="98" t="str">
        <f>'изм. 31'!B510</f>
        <v>22.2. Организация создания, изготовления и распространения социальной рекламы по вопросам межнациональных и межконфессиональных отношений</v>
      </c>
      <c r="C518" s="106">
        <f>Лист1!G520</f>
        <v>25</v>
      </c>
      <c r="D518" s="177"/>
      <c r="E518" s="172">
        <f t="shared" si="16"/>
        <v>0</v>
      </c>
      <c r="F518" s="103"/>
    </row>
    <row r="519" spans="1:6" hidden="1" x14ac:dyDescent="0.25">
      <c r="A519" s="184">
        <f>'изм. 31'!A521</f>
        <v>379</v>
      </c>
      <c r="B519" s="98" t="str">
        <f>'изм. 31'!B511</f>
        <v>областной бюджет</v>
      </c>
      <c r="C519" s="106">
        <f>Лист1!G521</f>
        <v>0</v>
      </c>
      <c r="D519" s="177"/>
      <c r="E519" s="172" t="e">
        <f t="shared" si="16"/>
        <v>#DIV/0!</v>
      </c>
      <c r="F519" s="103"/>
    </row>
    <row r="520" spans="1:6" hidden="1" x14ac:dyDescent="0.25">
      <c r="A520" s="184">
        <f>'изм. 31'!A522</f>
        <v>380</v>
      </c>
      <c r="B520" s="98" t="str">
        <f>'изм. 31'!B512</f>
        <v>местный бюджет</v>
      </c>
      <c r="C520" s="106">
        <f>Лист1!G522</f>
        <v>25</v>
      </c>
      <c r="D520" s="177"/>
      <c r="E520" s="172">
        <f t="shared" si="16"/>
        <v>0</v>
      </c>
      <c r="F520" s="103"/>
    </row>
    <row r="521" spans="1:6" hidden="1" x14ac:dyDescent="0.25">
      <c r="A521" s="184">
        <f>'изм. 31'!A523</f>
        <v>381</v>
      </c>
      <c r="B521" s="98" t="str">
        <f>'изм. 31'!B513</f>
        <v>внебюджетные источники</v>
      </c>
      <c r="C521" s="106">
        <f>Лист1!G523</f>
        <v>0</v>
      </c>
      <c r="D521" s="177"/>
      <c r="E521" s="172" t="e">
        <f t="shared" si="16"/>
        <v>#DIV/0!</v>
      </c>
      <c r="F521" s="103"/>
    </row>
    <row r="522" spans="1:6" ht="36.75" hidden="1" x14ac:dyDescent="0.25">
      <c r="A522" s="184">
        <f>'изм. 31'!A524</f>
        <v>382</v>
      </c>
      <c r="B522" s="98" t="str">
        <f>'изм. 31'!B514</f>
        <v>22.3. Организация создания и распространения буклетов, электронных презентаций по вопросам межнациональных и межконфессиональных отношений</v>
      </c>
      <c r="C522" s="106">
        <f>Лист1!G524</f>
        <v>9</v>
      </c>
      <c r="D522" s="177"/>
      <c r="E522" s="172">
        <f t="shared" si="16"/>
        <v>0</v>
      </c>
      <c r="F522" s="103"/>
    </row>
    <row r="523" spans="1:6" hidden="1" x14ac:dyDescent="0.25">
      <c r="A523" s="184">
        <f>'изм. 31'!A525</f>
        <v>383</v>
      </c>
      <c r="B523" s="98" t="str">
        <f>'изм. 31'!B515</f>
        <v>областной бюджет</v>
      </c>
      <c r="C523" s="106">
        <f>Лист1!G525</f>
        <v>0</v>
      </c>
      <c r="D523" s="177"/>
      <c r="E523" s="172" t="e">
        <f t="shared" si="16"/>
        <v>#DIV/0!</v>
      </c>
      <c r="F523" s="103"/>
    </row>
    <row r="524" spans="1:6" hidden="1" x14ac:dyDescent="0.25">
      <c r="A524" s="184">
        <f>'изм. 31'!A526</f>
        <v>384</v>
      </c>
      <c r="B524" s="98" t="str">
        <f>'изм. 31'!B516</f>
        <v>местный бюджет</v>
      </c>
      <c r="C524" s="106">
        <f>Лист1!G526</f>
        <v>9</v>
      </c>
      <c r="D524" s="177"/>
      <c r="E524" s="172">
        <f t="shared" si="16"/>
        <v>0</v>
      </c>
      <c r="F524" s="103"/>
    </row>
    <row r="525" spans="1:6" hidden="1" x14ac:dyDescent="0.25">
      <c r="A525" s="184">
        <f>'изм. 31'!A527</f>
        <v>385</v>
      </c>
      <c r="B525" s="98" t="str">
        <f>'изм. 31'!B517</f>
        <v>внебюджетные источники</v>
      </c>
      <c r="C525" s="106">
        <f>Лист1!G527</f>
        <v>0</v>
      </c>
      <c r="D525" s="177"/>
      <c r="E525" s="172" t="e">
        <f t="shared" si="16"/>
        <v>#DIV/0!</v>
      </c>
      <c r="F525" s="103"/>
    </row>
    <row r="526" spans="1:6" ht="40.5" customHeight="1" x14ac:dyDescent="0.25">
      <c r="A526" s="184">
        <f>'изм. 31'!A528</f>
        <v>386</v>
      </c>
      <c r="B526" s="192" t="str">
        <f>'изм. 31'!B518</f>
        <v>ПОДПРОГРАММА 6 "ОБЕСПЕЧЕНИЕ РЕАЛИЗАЦИИ МУНИЦИПАЛЬНОЙ ПРОГРАММЫ "РАЗВИТИЕ КУЛЬТУРЫ В КУШВИНСКОМ ГОРОДСКОМ ОКРУГЕ ДО 2020 ГОДА"</v>
      </c>
      <c r="C526" s="193"/>
      <c r="D526" s="193"/>
      <c r="E526" s="193"/>
      <c r="F526" s="194"/>
    </row>
    <row r="527" spans="1:6" x14ac:dyDescent="0.25">
      <c r="A527" s="184">
        <f>'изм. 31'!A529</f>
        <v>387</v>
      </c>
      <c r="B527" s="104" t="str">
        <f>'изм. 31'!B519</f>
        <v>Всего по подпрограмме, в том числе:</v>
      </c>
      <c r="C527" s="110">
        <f>C528+C529+C530+C531</f>
        <v>10356104.76</v>
      </c>
      <c r="D527" s="110">
        <f>SUM(D528:D532)</f>
        <v>9991688.1999999993</v>
      </c>
      <c r="E527" s="173">
        <f t="shared" si="16"/>
        <v>96.490790701696213</v>
      </c>
      <c r="F527" s="108"/>
    </row>
    <row r="528" spans="1:6" x14ac:dyDescent="0.25">
      <c r="A528" s="184">
        <f>'изм. 31'!A530</f>
        <v>388</v>
      </c>
      <c r="B528" s="98" t="str">
        <f>'изм. 31'!B520</f>
        <v>федеральный бюджет</v>
      </c>
      <c r="C528" s="111">
        <f>C534+C552</f>
        <v>0</v>
      </c>
      <c r="D528" s="111">
        <f>D534+D552</f>
        <v>0</v>
      </c>
      <c r="E528" s="172">
        <v>0</v>
      </c>
      <c r="F528" s="108"/>
    </row>
    <row r="529" spans="1:6" x14ac:dyDescent="0.25">
      <c r="A529" s="184">
        <f>'изм. 31'!A531</f>
        <v>389</v>
      </c>
      <c r="B529" s="98" t="str">
        <f>'изм. 31'!B521</f>
        <v>областной бюджет</v>
      </c>
      <c r="C529" s="111">
        <f>C553+C535</f>
        <v>72000</v>
      </c>
      <c r="D529" s="111">
        <f>D535+D553</f>
        <v>72000</v>
      </c>
      <c r="E529" s="172">
        <f>D529/C529*100+IF(D529/C529=0,0,D529/C529/100)</f>
        <v>100.01</v>
      </c>
      <c r="F529" s="108"/>
    </row>
    <row r="530" spans="1:6" x14ac:dyDescent="0.25">
      <c r="A530" s="184">
        <f>'изм. 31'!A532</f>
        <v>390</v>
      </c>
      <c r="B530" s="98" t="str">
        <f>'изм. 31'!B522</f>
        <v>местный бюджет</v>
      </c>
      <c r="C530" s="111">
        <f>C536+C554</f>
        <v>10284104.76</v>
      </c>
      <c r="D530" s="111">
        <f>D536+D554</f>
        <v>9919688.1999999993</v>
      </c>
      <c r="E530" s="172">
        <f t="shared" si="16"/>
        <v>96.46615238116263</v>
      </c>
      <c r="F530" s="108"/>
    </row>
    <row r="531" spans="1:6" x14ac:dyDescent="0.25">
      <c r="A531" s="184">
        <f>'изм. 31'!A533</f>
        <v>391</v>
      </c>
      <c r="B531" s="98" t="str">
        <f>'изм. 31'!B523</f>
        <v>внебюджетные источники</v>
      </c>
      <c r="C531" s="111">
        <f>C537+C555</f>
        <v>0</v>
      </c>
      <c r="D531" s="111">
        <v>0</v>
      </c>
      <c r="E531" s="172">
        <v>0</v>
      </c>
      <c r="F531" s="108"/>
    </row>
    <row r="532" spans="1:6" x14ac:dyDescent="0.25">
      <c r="A532" s="184">
        <f>'изм. 31'!A534</f>
        <v>392</v>
      </c>
      <c r="B532" s="104" t="str">
        <f>'изм. 31'!B524</f>
        <v>1.      Капитальные вложения</v>
      </c>
      <c r="C532" s="110">
        <f>Лист1!I534</f>
        <v>0</v>
      </c>
      <c r="D532" s="110">
        <f>D537+D555</f>
        <v>0</v>
      </c>
      <c r="E532" s="173">
        <v>0</v>
      </c>
      <c r="F532" s="108"/>
    </row>
    <row r="533" spans="1:6" ht="24.75" x14ac:dyDescent="0.25">
      <c r="A533" s="184">
        <f>'изм. 31'!A535</f>
        <v>393</v>
      </c>
      <c r="B533" s="98" t="str">
        <f>'изм. 31'!B525</f>
        <v xml:space="preserve"> Всего по направлению «Капитальные вложения», в том числе:</v>
      </c>
      <c r="C533" s="111">
        <f>Лист1!I535</f>
        <v>0</v>
      </c>
      <c r="D533" s="111">
        <v>0</v>
      </c>
      <c r="E533" s="172">
        <v>0</v>
      </c>
      <c r="F533" s="108"/>
    </row>
    <row r="534" spans="1:6" x14ac:dyDescent="0.25">
      <c r="A534" s="184">
        <f>'изм. 31'!A536</f>
        <v>394</v>
      </c>
      <c r="B534" s="98" t="str">
        <f>'изм. 31'!B526</f>
        <v>федеральный бюджет</v>
      </c>
      <c r="C534" s="111">
        <f>Лист1!I536</f>
        <v>0</v>
      </c>
      <c r="D534" s="111">
        <v>0</v>
      </c>
      <c r="E534" s="172">
        <v>0</v>
      </c>
      <c r="F534" s="108"/>
    </row>
    <row r="535" spans="1:6" x14ac:dyDescent="0.25">
      <c r="A535" s="184">
        <f>'изм. 31'!A537</f>
        <v>395</v>
      </c>
      <c r="B535" s="98" t="str">
        <f>'изм. 31'!B527</f>
        <v>областной бюджет</v>
      </c>
      <c r="C535" s="111">
        <f>Лист1!I537</f>
        <v>0</v>
      </c>
      <c r="D535" s="111">
        <v>0</v>
      </c>
      <c r="E535" s="172">
        <v>0</v>
      </c>
      <c r="F535" s="108"/>
    </row>
    <row r="536" spans="1:6" x14ac:dyDescent="0.25">
      <c r="A536" s="184">
        <f>'изм. 31'!A538</f>
        <v>396</v>
      </c>
      <c r="B536" s="98" t="str">
        <f>'изм. 31'!B528</f>
        <v>местный бюджет</v>
      </c>
      <c r="C536" s="111">
        <f>Лист1!I538</f>
        <v>0</v>
      </c>
      <c r="D536" s="111">
        <v>0</v>
      </c>
      <c r="E536" s="172">
        <v>0</v>
      </c>
      <c r="F536" s="108"/>
    </row>
    <row r="537" spans="1:6" x14ac:dyDescent="0.25">
      <c r="A537" s="184">
        <f>'изм. 31'!A539</f>
        <v>397</v>
      </c>
      <c r="B537" s="98" t="str">
        <f>'изм. 31'!B529</f>
        <v>внебюджетные источники</v>
      </c>
      <c r="C537" s="111">
        <f>Лист1!I539</f>
        <v>0</v>
      </c>
      <c r="D537" s="111">
        <v>0</v>
      </c>
      <c r="E537" s="172">
        <v>0</v>
      </c>
      <c r="F537" s="108"/>
    </row>
    <row r="538" spans="1:6" ht="24.75" hidden="1" x14ac:dyDescent="0.25">
      <c r="A538" s="184">
        <f>'изм. 31'!A540</f>
        <v>398</v>
      </c>
      <c r="B538" s="98" t="str">
        <f>'изм. 31'!B530</f>
        <v>1.1. Бюджетные инвестиции в объекты капитального строительства</v>
      </c>
      <c r="C538" s="106">
        <f>Лист1!H540</f>
        <v>0</v>
      </c>
      <c r="D538" s="177">
        <v>0</v>
      </c>
      <c r="E538" s="172">
        <v>0</v>
      </c>
      <c r="F538" s="108"/>
    </row>
    <row r="539" spans="1:6" ht="24.75" hidden="1" x14ac:dyDescent="0.25">
      <c r="A539" s="184">
        <f>'изм. 31'!A541</f>
        <v>399</v>
      </c>
      <c r="B539" s="98" t="str">
        <f>'изм. 31'!B531</f>
        <v>Бюджетные инвестиции в объекты капитального строительства, всего, в том числе</v>
      </c>
      <c r="C539" s="106">
        <f>Лист1!H541</f>
        <v>0</v>
      </c>
      <c r="D539" s="177">
        <v>0</v>
      </c>
      <c r="E539" s="172">
        <v>0</v>
      </c>
      <c r="F539" s="108"/>
    </row>
    <row r="540" spans="1:6" hidden="1" x14ac:dyDescent="0.25">
      <c r="A540" s="184">
        <f>'изм. 31'!A542</f>
        <v>400</v>
      </c>
      <c r="B540" s="98" t="str">
        <f>'изм. 31'!B532</f>
        <v>федеральный бюджет</v>
      </c>
      <c r="C540" s="106">
        <f>Лист1!H542</f>
        <v>0</v>
      </c>
      <c r="D540" s="177">
        <v>0</v>
      </c>
      <c r="E540" s="172">
        <v>0</v>
      </c>
      <c r="F540" s="108"/>
    </row>
    <row r="541" spans="1:6" hidden="1" x14ac:dyDescent="0.25">
      <c r="A541" s="184">
        <f>'изм. 31'!A543</f>
        <v>401</v>
      </c>
      <c r="B541" s="98" t="str">
        <f>'изм. 31'!B533</f>
        <v>областной бюджет</v>
      </c>
      <c r="C541" s="106">
        <f>Лист1!H543</f>
        <v>0</v>
      </c>
      <c r="D541" s="177">
        <v>0</v>
      </c>
      <c r="E541" s="172">
        <v>0</v>
      </c>
      <c r="F541" s="108"/>
    </row>
    <row r="542" spans="1:6" hidden="1" x14ac:dyDescent="0.25">
      <c r="A542" s="184">
        <f>'изм. 31'!A544</f>
        <v>402</v>
      </c>
      <c r="B542" s="98" t="str">
        <f>'изм. 31'!B534</f>
        <v>местный бюджет</v>
      </c>
      <c r="C542" s="106">
        <f>Лист1!H544</f>
        <v>0</v>
      </c>
      <c r="D542" s="177">
        <v>0</v>
      </c>
      <c r="E542" s="172">
        <v>0</v>
      </c>
      <c r="F542" s="108"/>
    </row>
    <row r="543" spans="1:6" hidden="1" x14ac:dyDescent="0.25">
      <c r="A543" s="184">
        <f>'изм. 31'!A545</f>
        <v>403</v>
      </c>
      <c r="B543" s="98" t="str">
        <f>'изм. 31'!B535</f>
        <v>внебюджетные источники</v>
      </c>
      <c r="C543" s="106">
        <f>Лист1!H545</f>
        <v>0</v>
      </c>
      <c r="D543" s="177">
        <v>0</v>
      </c>
      <c r="E543" s="172">
        <v>0</v>
      </c>
      <c r="F543" s="108"/>
    </row>
    <row r="544" spans="1:6" hidden="1" x14ac:dyDescent="0.25">
      <c r="A544" s="184">
        <f>'изм. 31'!A546</f>
        <v>404</v>
      </c>
      <c r="B544" s="98" t="str">
        <f>'изм. 31'!B536</f>
        <v>1.2. Иные капитальные вложения</v>
      </c>
      <c r="C544" s="106">
        <f>Лист1!H546</f>
        <v>0</v>
      </c>
      <c r="D544" s="177">
        <v>0</v>
      </c>
      <c r="E544" s="172">
        <v>0</v>
      </c>
      <c r="F544" s="108"/>
    </row>
    <row r="545" spans="1:7" hidden="1" x14ac:dyDescent="0.25">
      <c r="A545" s="184">
        <f>'изм. 31'!A547</f>
        <v>405</v>
      </c>
      <c r="B545" s="98" t="str">
        <f>'изм. 31'!B537</f>
        <v>Иные капитальные вложения, всего, в том числе</v>
      </c>
      <c r="C545" s="106">
        <f>Лист1!H547</f>
        <v>0</v>
      </c>
      <c r="D545" s="177">
        <v>0</v>
      </c>
      <c r="E545" s="172">
        <v>0</v>
      </c>
      <c r="F545" s="108"/>
    </row>
    <row r="546" spans="1:7" hidden="1" x14ac:dyDescent="0.25">
      <c r="A546" s="184">
        <f>'изм. 31'!A548</f>
        <v>406</v>
      </c>
      <c r="B546" s="98" t="str">
        <f>'изм. 31'!B538</f>
        <v>федеральный бюджет</v>
      </c>
      <c r="C546" s="106">
        <f>Лист1!H548</f>
        <v>0</v>
      </c>
      <c r="D546" s="177">
        <v>0</v>
      </c>
      <c r="E546" s="172">
        <v>0</v>
      </c>
      <c r="F546" s="108"/>
    </row>
    <row r="547" spans="1:7" hidden="1" x14ac:dyDescent="0.25">
      <c r="A547" s="184">
        <f>'изм. 31'!A549</f>
        <v>407</v>
      </c>
      <c r="B547" s="98" t="str">
        <f>'изм. 31'!B539</f>
        <v>областной бюджет</v>
      </c>
      <c r="C547" s="106">
        <f>Лист1!H549</f>
        <v>0</v>
      </c>
      <c r="D547" s="177">
        <v>0</v>
      </c>
      <c r="E547" s="172">
        <v>0</v>
      </c>
      <c r="F547" s="108"/>
    </row>
    <row r="548" spans="1:7" hidden="1" x14ac:dyDescent="0.25">
      <c r="A548" s="184">
        <f>'изм. 31'!A550</f>
        <v>408</v>
      </c>
      <c r="B548" s="98" t="str">
        <f>'изм. 31'!B540</f>
        <v>местный бюджет</v>
      </c>
      <c r="C548" s="106">
        <f>Лист1!H550</f>
        <v>0</v>
      </c>
      <c r="D548" s="177">
        <v>0</v>
      </c>
      <c r="E548" s="172">
        <v>0</v>
      </c>
      <c r="F548" s="108"/>
    </row>
    <row r="549" spans="1:7" hidden="1" x14ac:dyDescent="0.25">
      <c r="A549" s="184">
        <f>'изм. 31'!A551</f>
        <v>409</v>
      </c>
      <c r="B549" s="98" t="str">
        <f>'изм. 31'!B541</f>
        <v>внебюджетные источники</v>
      </c>
      <c r="C549" s="106">
        <f>Лист1!H551</f>
        <v>0</v>
      </c>
      <c r="D549" s="177">
        <v>0</v>
      </c>
      <c r="E549" s="172">
        <v>0</v>
      </c>
      <c r="F549" s="108"/>
    </row>
    <row r="550" spans="1:7" x14ac:dyDescent="0.25">
      <c r="A550" s="184">
        <f>'изм. 31'!A552</f>
        <v>410</v>
      </c>
      <c r="B550" s="104" t="str">
        <f>'изм. 31'!B542</f>
        <v>2.      Прочие нужды</v>
      </c>
      <c r="C550" s="106"/>
      <c r="D550" s="177"/>
      <c r="E550" s="172"/>
      <c r="F550" s="108"/>
    </row>
    <row r="551" spans="1:7" x14ac:dyDescent="0.25">
      <c r="A551" s="184">
        <f>'изм. 31'!A553</f>
        <v>411</v>
      </c>
      <c r="B551" s="98" t="str">
        <f>'изм. 31'!B543</f>
        <v xml:space="preserve"> Всего по направлению "Прочие нужды", в том числе:</v>
      </c>
      <c r="C551" s="110">
        <f>C552+C553+C554+C555</f>
        <v>10356104.76</v>
      </c>
      <c r="D551" s="110">
        <f>D552+D553+D554+D555</f>
        <v>9991688.1999999993</v>
      </c>
      <c r="E551" s="173">
        <f>D551/C551*100+IF(D551/C551=0,0,D551/C551/100)</f>
        <v>96.490790701696213</v>
      </c>
      <c r="F551" s="108"/>
    </row>
    <row r="552" spans="1:7" x14ac:dyDescent="0.25">
      <c r="A552" s="184">
        <f>'изм. 31'!A554</f>
        <v>412</v>
      </c>
      <c r="B552" s="98" t="str">
        <f>'изм. 31'!B544</f>
        <v>федеральный бюджет</v>
      </c>
      <c r="C552" s="111">
        <f t="shared" ref="C552:D555" si="17">C557+C562</f>
        <v>0</v>
      </c>
      <c r="D552" s="111">
        <f t="shared" si="17"/>
        <v>0</v>
      </c>
      <c r="E552" s="172">
        <v>0</v>
      </c>
      <c r="F552" s="108"/>
    </row>
    <row r="553" spans="1:7" x14ac:dyDescent="0.25">
      <c r="A553" s="184">
        <f>'изм. 31'!A555</f>
        <v>413</v>
      </c>
      <c r="B553" s="98" t="str">
        <f>'изм. 31'!B545</f>
        <v>областной бюджет</v>
      </c>
      <c r="C553" s="111">
        <f t="shared" si="17"/>
        <v>72000</v>
      </c>
      <c r="D553" s="111">
        <f t="shared" si="17"/>
        <v>72000</v>
      </c>
      <c r="E553" s="172">
        <f>D553/C553*100+IF(D553/C553=0,0,D553/C553/100)</f>
        <v>100.01</v>
      </c>
      <c r="F553" s="108"/>
    </row>
    <row r="554" spans="1:7" x14ac:dyDescent="0.25">
      <c r="A554" s="184">
        <f>'изм. 31'!A556</f>
        <v>414</v>
      </c>
      <c r="B554" s="98" t="str">
        <f>'изм. 31'!B546</f>
        <v>местный бюджет</v>
      </c>
      <c r="C554" s="111">
        <f t="shared" si="17"/>
        <v>10284104.76</v>
      </c>
      <c r="D554" s="111">
        <f t="shared" si="17"/>
        <v>9919688.1999999993</v>
      </c>
      <c r="E554" s="172">
        <f t="shared" si="16"/>
        <v>96.46615238116263</v>
      </c>
      <c r="F554" s="108"/>
      <c r="G554" s="146"/>
    </row>
    <row r="555" spans="1:7" x14ac:dyDescent="0.25">
      <c r="A555" s="184">
        <f>'изм. 31'!A557</f>
        <v>403</v>
      </c>
      <c r="B555" s="98" t="str">
        <f>'изм. 31'!B547</f>
        <v>внебюджетные источники</v>
      </c>
      <c r="C555" s="111">
        <f t="shared" si="17"/>
        <v>0</v>
      </c>
      <c r="D555" s="111">
        <f t="shared" si="17"/>
        <v>0</v>
      </c>
      <c r="E555" s="172">
        <v>0</v>
      </c>
      <c r="F555" s="108"/>
    </row>
    <row r="556" spans="1:7" ht="48.75" x14ac:dyDescent="0.25">
      <c r="A556" s="184">
        <f>'изм. 31'!A558</f>
        <v>404</v>
      </c>
      <c r="B556" s="107" t="s">
        <v>263</v>
      </c>
      <c r="C556" s="110">
        <f>C557+C558+C559+C560</f>
        <v>1510410.26</v>
      </c>
      <c r="D556" s="110">
        <f>D557+D558+D559+D560</f>
        <v>1488996.95</v>
      </c>
      <c r="E556" s="173">
        <f t="shared" si="16"/>
        <v>98.592143415061287</v>
      </c>
      <c r="F556" s="108"/>
      <c r="G556" s="146"/>
    </row>
    <row r="557" spans="1:7" x14ac:dyDescent="0.25">
      <c r="A557" s="184">
        <v>405</v>
      </c>
      <c r="B557" s="98" t="str">
        <f>'изм. 31'!B549</f>
        <v>федеральный бюджет</v>
      </c>
      <c r="C557" s="111">
        <f>Лист1!I559</f>
        <v>0</v>
      </c>
      <c r="D557" s="111">
        <v>0</v>
      </c>
      <c r="E557" s="172">
        <v>0</v>
      </c>
      <c r="F557" s="108"/>
    </row>
    <row r="558" spans="1:7" x14ac:dyDescent="0.25">
      <c r="A558" s="184">
        <v>406</v>
      </c>
      <c r="B558" s="98" t="str">
        <f>'изм. 31'!B550</f>
        <v>областной бюджет</v>
      </c>
      <c r="C558" s="111">
        <f>Лист1!I560</f>
        <v>0</v>
      </c>
      <c r="D558" s="111">
        <v>0</v>
      </c>
      <c r="E558" s="172">
        <v>0</v>
      </c>
      <c r="F558" s="108"/>
    </row>
    <row r="559" spans="1:7" x14ac:dyDescent="0.25">
      <c r="A559" s="184">
        <v>407</v>
      </c>
      <c r="B559" s="98" t="str">
        <f>'изм. 31'!B551</f>
        <v>местный бюджет</v>
      </c>
      <c r="C559" s="111">
        <v>1510410.26</v>
      </c>
      <c r="D559" s="111">
        <v>1488996.95</v>
      </c>
      <c r="E559" s="172">
        <f t="shared" si="16"/>
        <v>98.592143415061287</v>
      </c>
      <c r="F559" s="108"/>
    </row>
    <row r="560" spans="1:7" x14ac:dyDescent="0.25">
      <c r="A560" s="184">
        <v>408</v>
      </c>
      <c r="B560" s="98" t="str">
        <f>'изм. 31'!B552</f>
        <v>внебюджетные источники</v>
      </c>
      <c r="C560" s="111">
        <f>Лист1!I562</f>
        <v>0</v>
      </c>
      <c r="D560" s="111">
        <v>0</v>
      </c>
      <c r="E560" s="172">
        <v>0</v>
      </c>
      <c r="F560" s="108"/>
    </row>
    <row r="561" spans="1:8" ht="48.75" x14ac:dyDescent="0.25">
      <c r="A561" s="184">
        <v>409</v>
      </c>
      <c r="B561" s="107" t="s">
        <v>264</v>
      </c>
      <c r="C561" s="110">
        <f>C562+C563+C564+C565</f>
        <v>8845694.5</v>
      </c>
      <c r="D561" s="110">
        <f>SUM(D562:D565)</f>
        <v>8502691.25</v>
      </c>
      <c r="E561" s="173">
        <f t="shared" si="16"/>
        <v>96.131982843461302</v>
      </c>
      <c r="F561" s="108"/>
    </row>
    <row r="562" spans="1:8" x14ac:dyDescent="0.25">
      <c r="A562" s="184">
        <v>410</v>
      </c>
      <c r="B562" s="98" t="str">
        <f>'изм. 31'!B554</f>
        <v>федеральный бюджет</v>
      </c>
      <c r="C562" s="111">
        <f>Лист1!I564</f>
        <v>0</v>
      </c>
      <c r="D562" s="111">
        <v>0</v>
      </c>
      <c r="E562" s="172">
        <v>0</v>
      </c>
      <c r="F562" s="108"/>
    </row>
    <row r="563" spans="1:8" x14ac:dyDescent="0.25">
      <c r="A563" s="184">
        <v>411</v>
      </c>
      <c r="B563" s="98" t="str">
        <f>'изм. 31'!B555</f>
        <v>областной бюджет</v>
      </c>
      <c r="C563" s="111">
        <v>72000</v>
      </c>
      <c r="D563" s="111">
        <v>72000</v>
      </c>
      <c r="E563" s="172">
        <f>D563/C563*100</f>
        <v>100</v>
      </c>
      <c r="F563" s="108"/>
    </row>
    <row r="564" spans="1:8" x14ac:dyDescent="0.25">
      <c r="A564" s="184">
        <v>412</v>
      </c>
      <c r="B564" s="98" t="str">
        <f>'изм. 31'!B556</f>
        <v>местный бюджет</v>
      </c>
      <c r="C564" s="111">
        <v>8773694.5</v>
      </c>
      <c r="D564" s="111">
        <v>8430691.25</v>
      </c>
      <c r="E564" s="172">
        <f t="shared" si="16"/>
        <v>96.100158480842921</v>
      </c>
      <c r="F564" s="108"/>
      <c r="H564" s="146"/>
    </row>
    <row r="565" spans="1:8" x14ac:dyDescent="0.25">
      <c r="A565" s="184">
        <v>413</v>
      </c>
      <c r="B565" s="103" t="s">
        <v>12</v>
      </c>
      <c r="C565" s="111">
        <f>Лист1!I567</f>
        <v>0</v>
      </c>
      <c r="D565" s="182">
        <v>0</v>
      </c>
      <c r="E565" s="183">
        <v>0</v>
      </c>
      <c r="F565" s="103"/>
    </row>
    <row r="566" spans="1:8" ht="40.5" customHeight="1" x14ac:dyDescent="0.25">
      <c r="A566" s="184">
        <v>414</v>
      </c>
      <c r="B566" s="192" t="s">
        <v>265</v>
      </c>
      <c r="C566" s="193"/>
      <c r="D566" s="193"/>
      <c r="E566" s="193"/>
      <c r="F566" s="194"/>
    </row>
    <row r="567" spans="1:8" x14ac:dyDescent="0.25">
      <c r="A567" s="184">
        <v>415</v>
      </c>
      <c r="B567" s="104" t="s">
        <v>14</v>
      </c>
      <c r="C567" s="110">
        <f>C568+C569+C570</f>
        <v>0</v>
      </c>
      <c r="D567" s="110">
        <f>D568+D569+D570</f>
        <v>0</v>
      </c>
      <c r="E567" s="173">
        <v>0</v>
      </c>
      <c r="F567" s="108"/>
    </row>
    <row r="568" spans="1:8" ht="14.25" customHeight="1" x14ac:dyDescent="0.25">
      <c r="A568" s="184">
        <v>416</v>
      </c>
      <c r="B568" s="104" t="s">
        <v>10</v>
      </c>
      <c r="C568" s="111">
        <f>C574</f>
        <v>0</v>
      </c>
      <c r="D568" s="111">
        <f>D574</f>
        <v>0</v>
      </c>
      <c r="E568" s="172">
        <v>0</v>
      </c>
      <c r="F568" s="108"/>
    </row>
    <row r="569" spans="1:8" ht="13.5" customHeight="1" x14ac:dyDescent="0.25">
      <c r="A569" s="184">
        <v>417</v>
      </c>
      <c r="B569" s="104" t="s">
        <v>11</v>
      </c>
      <c r="C569" s="111">
        <f t="shared" ref="C569:D570" si="18">C575</f>
        <v>0</v>
      </c>
      <c r="D569" s="111">
        <f t="shared" si="18"/>
        <v>0</v>
      </c>
      <c r="E569" s="172">
        <v>0</v>
      </c>
      <c r="F569" s="108"/>
    </row>
    <row r="570" spans="1:8" ht="12" customHeight="1" x14ac:dyDescent="0.25">
      <c r="A570" s="184">
        <v>418</v>
      </c>
      <c r="B570" s="104" t="s">
        <v>12</v>
      </c>
      <c r="C570" s="111">
        <f t="shared" si="18"/>
        <v>0</v>
      </c>
      <c r="D570" s="111">
        <f t="shared" si="18"/>
        <v>0</v>
      </c>
      <c r="E570" s="172">
        <v>0</v>
      </c>
      <c r="F570" s="108"/>
    </row>
    <row r="571" spans="1:8" ht="25.5" x14ac:dyDescent="0.25">
      <c r="A571" s="184">
        <v>419</v>
      </c>
      <c r="B571" s="187" t="s">
        <v>266</v>
      </c>
      <c r="C571" s="111">
        <f>C572+C573+C574</f>
        <v>0</v>
      </c>
      <c r="D571" s="111">
        <v>0</v>
      </c>
      <c r="E571" s="172">
        <v>0</v>
      </c>
      <c r="F571" s="108"/>
    </row>
    <row r="572" spans="1:8" x14ac:dyDescent="0.25">
      <c r="A572" s="184">
        <v>420</v>
      </c>
      <c r="B572" s="188" t="s">
        <v>10</v>
      </c>
      <c r="C572" s="110">
        <f>Лист1!I574</f>
        <v>0</v>
      </c>
      <c r="D572" s="111">
        <f>D577</f>
        <v>0</v>
      </c>
      <c r="E572" s="173">
        <v>0</v>
      </c>
      <c r="F572" s="108"/>
    </row>
    <row r="573" spans="1:8" x14ac:dyDescent="0.25">
      <c r="A573" s="184">
        <v>421</v>
      </c>
      <c r="B573" s="189" t="s">
        <v>11</v>
      </c>
      <c r="C573" s="111">
        <f>Лист1!I575</f>
        <v>0</v>
      </c>
      <c r="D573" s="111">
        <v>0</v>
      </c>
      <c r="E573" s="172">
        <v>0</v>
      </c>
      <c r="F573" s="108"/>
    </row>
    <row r="574" spans="1:8" x14ac:dyDescent="0.25">
      <c r="A574" s="184">
        <v>422</v>
      </c>
      <c r="B574" s="188" t="s">
        <v>12</v>
      </c>
      <c r="C574" s="111">
        <f>Лист1!I576</f>
        <v>0</v>
      </c>
      <c r="D574" s="111">
        <v>0</v>
      </c>
      <c r="E574" s="172">
        <v>0</v>
      </c>
      <c r="F574" s="108"/>
    </row>
    <row r="575" spans="1:8" ht="51.75" customHeight="1" x14ac:dyDescent="0.25">
      <c r="A575" s="184">
        <v>423</v>
      </c>
      <c r="B575" s="187" t="s">
        <v>268</v>
      </c>
      <c r="C575" s="111">
        <f>Лист1!I577</f>
        <v>0</v>
      </c>
      <c r="D575" s="111">
        <v>0</v>
      </c>
      <c r="E575" s="172">
        <v>0</v>
      </c>
      <c r="F575" s="108"/>
    </row>
    <row r="576" spans="1:8" ht="12" customHeight="1" x14ac:dyDescent="0.25">
      <c r="A576" s="184">
        <v>424</v>
      </c>
      <c r="B576" s="189" t="s">
        <v>10</v>
      </c>
      <c r="C576" s="111">
        <f>Лист1!I578</f>
        <v>0</v>
      </c>
      <c r="D576" s="111">
        <v>0</v>
      </c>
      <c r="E576" s="172">
        <v>0</v>
      </c>
      <c r="F576" s="108"/>
    </row>
    <row r="577" spans="1:6" ht="12" customHeight="1" x14ac:dyDescent="0.25">
      <c r="A577" s="184">
        <v>425</v>
      </c>
      <c r="B577" s="189" t="s">
        <v>11</v>
      </c>
      <c r="C577" s="111">
        <f>Лист1!I579</f>
        <v>0</v>
      </c>
      <c r="D577" s="111">
        <v>0</v>
      </c>
      <c r="E577" s="172">
        <v>0</v>
      </c>
      <c r="F577" s="108"/>
    </row>
    <row r="578" spans="1:6" hidden="1" x14ac:dyDescent="0.25">
      <c r="A578" s="184">
        <v>426</v>
      </c>
      <c r="B578" s="188" t="s">
        <v>12</v>
      </c>
      <c r="C578" s="106">
        <f>Лист1!H580</f>
        <v>0</v>
      </c>
      <c r="D578" s="177">
        <v>0</v>
      </c>
      <c r="E578" s="172">
        <v>0</v>
      </c>
      <c r="F578" s="108"/>
    </row>
    <row r="579" spans="1:6" ht="25.5" hidden="1" x14ac:dyDescent="0.25">
      <c r="A579" s="184">
        <v>427</v>
      </c>
      <c r="B579" s="187" t="s">
        <v>266</v>
      </c>
      <c r="C579" s="106">
        <f>Лист1!H581</f>
        <v>0</v>
      </c>
      <c r="D579" s="177">
        <v>0</v>
      </c>
      <c r="E579" s="172">
        <v>0</v>
      </c>
      <c r="F579" s="108"/>
    </row>
    <row r="580" spans="1:6" hidden="1" x14ac:dyDescent="0.25">
      <c r="A580" s="184">
        <v>428</v>
      </c>
      <c r="B580" s="188" t="s">
        <v>10</v>
      </c>
      <c r="C580" s="106">
        <f>Лист1!H582</f>
        <v>0</v>
      </c>
      <c r="D580" s="177">
        <v>0</v>
      </c>
      <c r="E580" s="172">
        <v>0</v>
      </c>
      <c r="F580" s="108"/>
    </row>
    <row r="581" spans="1:6" hidden="1" x14ac:dyDescent="0.25">
      <c r="A581" s="184">
        <v>429</v>
      </c>
      <c r="B581" s="189" t="s">
        <v>11</v>
      </c>
      <c r="C581" s="106">
        <f>Лист1!H583</f>
        <v>0</v>
      </c>
      <c r="D581" s="177">
        <v>0</v>
      </c>
      <c r="E581" s="172">
        <v>0</v>
      </c>
      <c r="F581" s="108"/>
    </row>
    <row r="582" spans="1:6" hidden="1" x14ac:dyDescent="0.25">
      <c r="A582" s="184">
        <v>430</v>
      </c>
      <c r="B582" s="188" t="s">
        <v>12</v>
      </c>
      <c r="C582" s="106">
        <f>Лист1!H584</f>
        <v>0</v>
      </c>
      <c r="D582" s="177">
        <v>0</v>
      </c>
      <c r="E582" s="172">
        <v>0</v>
      </c>
      <c r="F582" s="108"/>
    </row>
    <row r="583" spans="1:6" ht="63.75" hidden="1" x14ac:dyDescent="0.25">
      <c r="A583" s="184">
        <v>431</v>
      </c>
      <c r="B583" s="187" t="s">
        <v>267</v>
      </c>
      <c r="C583" s="106">
        <f>Лист1!H585</f>
        <v>0</v>
      </c>
      <c r="D583" s="177">
        <v>0</v>
      </c>
      <c r="E583" s="172">
        <v>0</v>
      </c>
      <c r="F583" s="108"/>
    </row>
    <row r="584" spans="1:6" hidden="1" x14ac:dyDescent="0.25">
      <c r="A584" s="184">
        <v>432</v>
      </c>
      <c r="B584" s="189" t="s">
        <v>10</v>
      </c>
      <c r="C584" s="106">
        <f>Лист1!H586</f>
        <v>0</v>
      </c>
      <c r="D584" s="177">
        <v>0</v>
      </c>
      <c r="E584" s="172">
        <v>0</v>
      </c>
      <c r="F584" s="108"/>
    </row>
    <row r="585" spans="1:6" hidden="1" x14ac:dyDescent="0.25">
      <c r="A585" s="184">
        <v>433</v>
      </c>
      <c r="B585" s="189" t="s">
        <v>11</v>
      </c>
      <c r="C585" s="106">
        <f>Лист1!H587</f>
        <v>0</v>
      </c>
      <c r="D585" s="177">
        <v>0</v>
      </c>
      <c r="E585" s="172">
        <v>0</v>
      </c>
      <c r="F585" s="108"/>
    </row>
    <row r="586" spans="1:6" hidden="1" x14ac:dyDescent="0.25">
      <c r="A586" s="184">
        <v>434</v>
      </c>
      <c r="B586" s="188" t="s">
        <v>12</v>
      </c>
      <c r="C586" s="106">
        <f>Лист1!H588</f>
        <v>0</v>
      </c>
      <c r="D586" s="177">
        <v>0</v>
      </c>
      <c r="E586" s="172">
        <v>0</v>
      </c>
      <c r="F586" s="108"/>
    </row>
    <row r="587" spans="1:6" ht="25.5" hidden="1" x14ac:dyDescent="0.25">
      <c r="A587" s="184">
        <v>435</v>
      </c>
      <c r="B587" s="187" t="s">
        <v>266</v>
      </c>
      <c r="C587" s="106">
        <f>Лист1!H589</f>
        <v>0</v>
      </c>
      <c r="D587" s="177">
        <v>0</v>
      </c>
      <c r="E587" s="172">
        <v>0</v>
      </c>
      <c r="F587" s="108"/>
    </row>
    <row r="588" spans="1:6" hidden="1" x14ac:dyDescent="0.25">
      <c r="A588" s="184">
        <v>436</v>
      </c>
      <c r="B588" s="188" t="s">
        <v>10</v>
      </c>
      <c r="C588" s="106">
        <f>Лист1!H590</f>
        <v>0</v>
      </c>
      <c r="D588" s="177">
        <v>0</v>
      </c>
      <c r="E588" s="172">
        <v>0</v>
      </c>
      <c r="F588" s="108"/>
    </row>
    <row r="589" spans="1:6" hidden="1" x14ac:dyDescent="0.25">
      <c r="A589" s="184">
        <v>437</v>
      </c>
      <c r="B589" s="189" t="s">
        <v>11</v>
      </c>
      <c r="C589" s="106">
        <f>Лист1!H591</f>
        <v>0</v>
      </c>
      <c r="D589" s="177">
        <v>0</v>
      </c>
      <c r="E589" s="172">
        <v>0</v>
      </c>
      <c r="F589" s="108"/>
    </row>
    <row r="590" spans="1:6" x14ac:dyDescent="0.25">
      <c r="A590" s="184">
        <v>438</v>
      </c>
      <c r="B590" s="188" t="s">
        <v>12</v>
      </c>
      <c r="C590" s="106"/>
      <c r="D590" s="177"/>
      <c r="E590" s="172"/>
      <c r="F590" s="108"/>
    </row>
  </sheetData>
  <mergeCells count="15">
    <mergeCell ref="B566:F566"/>
    <mergeCell ref="A1:B1"/>
    <mergeCell ref="A2:F2"/>
    <mergeCell ref="A3:F3"/>
    <mergeCell ref="B23:F23"/>
    <mergeCell ref="B526:F526"/>
    <mergeCell ref="B463:F463"/>
    <mergeCell ref="B402:F402"/>
    <mergeCell ref="B344:F344"/>
    <mergeCell ref="B241:F241"/>
    <mergeCell ref="A4:F4"/>
    <mergeCell ref="A5:A6"/>
    <mergeCell ref="B5:B6"/>
    <mergeCell ref="C5:E5"/>
    <mergeCell ref="F5:F6"/>
  </mergeCells>
  <pageMargins left="0.35433070866141736" right="0.23622047244094491" top="0.32" bottom="0.35433070866141736" header="0.21"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60"/>
  <sheetViews>
    <sheetView topLeftCell="A7" workbookViewId="0">
      <selection activeCell="D467" sqref="D467"/>
    </sheetView>
  </sheetViews>
  <sheetFormatPr defaultColWidth="9" defaultRowHeight="15.75" x14ac:dyDescent="0.25"/>
  <cols>
    <col min="1" max="1" width="5.375" style="25" customWidth="1"/>
    <col min="2" max="2" width="33.375" style="25" customWidth="1"/>
    <col min="3" max="3" width="12.625" style="25" customWidth="1"/>
    <col min="4" max="4" width="12.125" style="25" bestFit="1" customWidth="1"/>
    <col min="5" max="5" width="12.125" style="29" bestFit="1" customWidth="1"/>
    <col min="6" max="6" width="12.25" style="25" bestFit="1" customWidth="1"/>
    <col min="7" max="9" width="12.125" style="25" bestFit="1" customWidth="1"/>
    <col min="10" max="10" width="11.375" style="25" customWidth="1"/>
    <col min="11" max="11" width="13" style="25" bestFit="1" customWidth="1"/>
    <col min="12" max="16384" width="9" style="25"/>
  </cols>
  <sheetData>
    <row r="1" spans="1:11" s="24" customFormat="1" ht="15" customHeight="1" x14ac:dyDescent="0.25">
      <c r="E1" s="26"/>
      <c r="G1" s="213" t="s">
        <v>83</v>
      </c>
      <c r="H1" s="213"/>
      <c r="I1" s="213"/>
      <c r="J1" s="213"/>
    </row>
    <row r="2" spans="1:11" s="24" customFormat="1" ht="39.75" customHeight="1" x14ac:dyDescent="0.25">
      <c r="E2" s="26"/>
      <c r="G2" s="213" t="s">
        <v>130</v>
      </c>
      <c r="H2" s="213"/>
      <c r="I2" s="213"/>
      <c r="J2" s="213"/>
    </row>
    <row r="3" spans="1:11" s="24" customFormat="1" x14ac:dyDescent="0.25">
      <c r="E3" s="26"/>
      <c r="G3" s="32"/>
      <c r="H3" s="32"/>
      <c r="I3" s="32"/>
      <c r="J3" s="32"/>
    </row>
    <row r="4" spans="1:11" s="24" customFormat="1" x14ac:dyDescent="0.25">
      <c r="A4" s="5"/>
      <c r="B4" s="6"/>
      <c r="C4" s="6"/>
      <c r="D4" s="6"/>
      <c r="E4" s="27"/>
      <c r="F4" s="6"/>
      <c r="G4" s="213" t="s">
        <v>121</v>
      </c>
      <c r="H4" s="213"/>
      <c r="I4" s="213"/>
      <c r="J4" s="213"/>
    </row>
    <row r="5" spans="1:11" s="24" customFormat="1" ht="35.1" customHeight="1" x14ac:dyDescent="0.25">
      <c r="A5" s="5"/>
      <c r="B5" s="6"/>
      <c r="C5" s="23"/>
      <c r="D5" s="23"/>
      <c r="E5" s="27"/>
      <c r="F5" s="6"/>
      <c r="G5" s="213" t="s">
        <v>90</v>
      </c>
      <c r="H5" s="213"/>
      <c r="I5" s="213"/>
      <c r="J5" s="213"/>
    </row>
    <row r="6" spans="1:11" ht="45.95" customHeight="1" x14ac:dyDescent="0.25">
      <c r="A6" s="214" t="s">
        <v>80</v>
      </c>
      <c r="B6" s="214"/>
      <c r="C6" s="214"/>
      <c r="D6" s="214"/>
      <c r="E6" s="214"/>
      <c r="F6" s="214"/>
      <c r="G6" s="214"/>
      <c r="H6" s="214"/>
      <c r="I6" s="214"/>
      <c r="J6" s="214"/>
    </row>
    <row r="7" spans="1:11" ht="38.25" customHeight="1" x14ac:dyDescent="0.25">
      <c r="A7" s="211" t="s">
        <v>66</v>
      </c>
      <c r="B7" s="211" t="s">
        <v>81</v>
      </c>
      <c r="C7" s="211" t="s">
        <v>67</v>
      </c>
      <c r="D7" s="211"/>
      <c r="E7" s="211"/>
      <c r="F7" s="211"/>
      <c r="G7" s="211"/>
      <c r="H7" s="211"/>
      <c r="I7" s="211"/>
      <c r="J7" s="212" t="s">
        <v>0</v>
      </c>
    </row>
    <row r="8" spans="1:11" ht="69" customHeight="1" x14ac:dyDescent="0.25">
      <c r="A8" s="211"/>
      <c r="B8" s="211"/>
      <c r="C8" s="31" t="s">
        <v>1</v>
      </c>
      <c r="D8" s="31" t="s">
        <v>2</v>
      </c>
      <c r="E8" s="28" t="s">
        <v>3</v>
      </c>
      <c r="F8" s="31" t="s">
        <v>4</v>
      </c>
      <c r="G8" s="31" t="s">
        <v>5</v>
      </c>
      <c r="H8" s="31" t="s">
        <v>6</v>
      </c>
      <c r="I8" s="31" t="s">
        <v>7</v>
      </c>
      <c r="J8" s="212"/>
    </row>
    <row r="9" spans="1:11" x14ac:dyDescent="0.25">
      <c r="A9" s="33">
        <v>1</v>
      </c>
      <c r="B9" s="33">
        <v>2</v>
      </c>
      <c r="C9" s="33">
        <v>3</v>
      </c>
      <c r="D9" s="33">
        <v>4</v>
      </c>
      <c r="E9" s="33">
        <v>5</v>
      </c>
      <c r="F9" s="33">
        <v>6</v>
      </c>
      <c r="G9" s="33">
        <v>7</v>
      </c>
      <c r="H9" s="33">
        <v>8</v>
      </c>
      <c r="I9" s="33">
        <v>9</v>
      </c>
      <c r="J9" s="33">
        <v>10</v>
      </c>
    </row>
    <row r="10" spans="1:11" ht="28.5" x14ac:dyDescent="0.25">
      <c r="A10" s="33">
        <v>1</v>
      </c>
      <c r="B10" s="7" t="s">
        <v>8</v>
      </c>
      <c r="C10" s="8">
        <f>SUM(D10:I10)</f>
        <v>1043781363.72</v>
      </c>
      <c r="D10" s="8">
        <f>SUM(D11:D14)</f>
        <v>142766687.31</v>
      </c>
      <c r="E10" s="8">
        <f t="shared" ref="E10:I10" si="0">SUM(E11:E14)</f>
        <v>135689450.98000002</v>
      </c>
      <c r="F10" s="8">
        <f t="shared" si="0"/>
        <v>130565118.43000001</v>
      </c>
      <c r="G10" s="8">
        <f t="shared" si="0"/>
        <v>153418369</v>
      </c>
      <c r="H10" s="8">
        <f t="shared" si="0"/>
        <v>329570369</v>
      </c>
      <c r="I10" s="8">
        <f t="shared" si="0"/>
        <v>151771369</v>
      </c>
      <c r="J10" s="36"/>
      <c r="K10" s="30"/>
    </row>
    <row r="11" spans="1:11" x14ac:dyDescent="0.25">
      <c r="A11" s="33">
        <v>2</v>
      </c>
      <c r="B11" s="9" t="s">
        <v>59</v>
      </c>
      <c r="C11" s="10">
        <f t="shared" ref="C11:C19" si="1">SUM(D11:I11)</f>
        <v>214600</v>
      </c>
      <c r="D11" s="10">
        <f>D16+D21</f>
        <v>64600</v>
      </c>
      <c r="E11" s="10">
        <f t="shared" ref="E11:I14" si="2">E16+E21</f>
        <v>150000</v>
      </c>
      <c r="F11" s="10">
        <f t="shared" si="2"/>
        <v>0</v>
      </c>
      <c r="G11" s="10">
        <f t="shared" si="2"/>
        <v>0</v>
      </c>
      <c r="H11" s="10">
        <f t="shared" si="2"/>
        <v>0</v>
      </c>
      <c r="I11" s="10">
        <f t="shared" si="2"/>
        <v>0</v>
      </c>
      <c r="J11" s="36"/>
    </row>
    <row r="12" spans="1:11" x14ac:dyDescent="0.25">
      <c r="A12" s="33">
        <v>3</v>
      </c>
      <c r="B12" s="9" t="s">
        <v>10</v>
      </c>
      <c r="C12" s="10">
        <f t="shared" si="1"/>
        <v>159644300</v>
      </c>
      <c r="D12" s="10">
        <f>D17+D22</f>
        <v>1160100</v>
      </c>
      <c r="E12" s="10">
        <f t="shared" si="2"/>
        <v>84200</v>
      </c>
      <c r="F12" s="10">
        <f>F17+F22</f>
        <v>0</v>
      </c>
      <c r="G12" s="10">
        <f t="shared" si="2"/>
        <v>0</v>
      </c>
      <c r="H12" s="10">
        <f t="shared" si="2"/>
        <v>158400000</v>
      </c>
      <c r="I12" s="10">
        <f t="shared" si="2"/>
        <v>0</v>
      </c>
      <c r="J12" s="36"/>
    </row>
    <row r="13" spans="1:11" x14ac:dyDescent="0.25">
      <c r="A13" s="33">
        <v>4</v>
      </c>
      <c r="B13" s="9" t="s">
        <v>11</v>
      </c>
      <c r="C13" s="10">
        <f t="shared" si="1"/>
        <v>794126240.72000003</v>
      </c>
      <c r="D13" s="10">
        <f>D18+D23</f>
        <v>127702587.31</v>
      </c>
      <c r="E13" s="10">
        <f t="shared" si="2"/>
        <v>121085427.98</v>
      </c>
      <c r="F13" s="10">
        <f t="shared" si="2"/>
        <v>115309618.43000001</v>
      </c>
      <c r="G13" s="10">
        <f t="shared" si="2"/>
        <v>137997869</v>
      </c>
      <c r="H13" s="10">
        <f t="shared" si="2"/>
        <v>155694869</v>
      </c>
      <c r="I13" s="10">
        <f t="shared" si="2"/>
        <v>136335869</v>
      </c>
      <c r="J13" s="36"/>
      <c r="K13" s="30"/>
    </row>
    <row r="14" spans="1:11" x14ac:dyDescent="0.25">
      <c r="A14" s="33">
        <v>5</v>
      </c>
      <c r="B14" s="9" t="s">
        <v>12</v>
      </c>
      <c r="C14" s="10">
        <f t="shared" si="1"/>
        <v>89796223</v>
      </c>
      <c r="D14" s="10">
        <f t="shared" ref="D14" si="3">D19+D24</f>
        <v>13839400</v>
      </c>
      <c r="E14" s="10">
        <f t="shared" si="2"/>
        <v>14369823</v>
      </c>
      <c r="F14" s="10">
        <f t="shared" si="2"/>
        <v>15255500</v>
      </c>
      <c r="G14" s="10">
        <f t="shared" si="2"/>
        <v>15420500</v>
      </c>
      <c r="H14" s="10">
        <f t="shared" si="2"/>
        <v>15475500</v>
      </c>
      <c r="I14" s="10">
        <f t="shared" si="2"/>
        <v>15435500</v>
      </c>
      <c r="J14" s="36"/>
    </row>
    <row r="15" spans="1:11" x14ac:dyDescent="0.25">
      <c r="A15" s="33">
        <v>6</v>
      </c>
      <c r="B15" s="11" t="s">
        <v>63</v>
      </c>
      <c r="C15" s="12">
        <f t="shared" si="1"/>
        <v>180600000</v>
      </c>
      <c r="D15" s="12">
        <f>SUM(D16:D19)</f>
        <v>0</v>
      </c>
      <c r="E15" s="12">
        <f t="shared" ref="E15:I15" si="4">SUM(E16:E19)</f>
        <v>0</v>
      </c>
      <c r="F15" s="12">
        <f t="shared" si="4"/>
        <v>4600000</v>
      </c>
      <c r="G15" s="12">
        <f t="shared" si="4"/>
        <v>0</v>
      </c>
      <c r="H15" s="12">
        <f t="shared" si="4"/>
        <v>176000000</v>
      </c>
      <c r="I15" s="12">
        <f t="shared" si="4"/>
        <v>0</v>
      </c>
      <c r="J15" s="36"/>
    </row>
    <row r="16" spans="1:11" x14ac:dyDescent="0.25">
      <c r="A16" s="33">
        <v>7</v>
      </c>
      <c r="B16" s="9" t="s">
        <v>59</v>
      </c>
      <c r="C16" s="10">
        <f t="shared" si="1"/>
        <v>0</v>
      </c>
      <c r="D16" s="10">
        <f t="shared" ref="D16:I19" si="5">D34+D189+D266+D318+D368+D442</f>
        <v>0</v>
      </c>
      <c r="E16" s="10">
        <f t="shared" si="5"/>
        <v>0</v>
      </c>
      <c r="F16" s="10">
        <f t="shared" si="5"/>
        <v>0</v>
      </c>
      <c r="G16" s="10">
        <f t="shared" si="5"/>
        <v>0</v>
      </c>
      <c r="H16" s="10">
        <f t="shared" si="5"/>
        <v>0</v>
      </c>
      <c r="I16" s="10">
        <f t="shared" si="5"/>
        <v>0</v>
      </c>
      <c r="J16" s="36"/>
    </row>
    <row r="17" spans="1:11" x14ac:dyDescent="0.25">
      <c r="A17" s="33">
        <v>8</v>
      </c>
      <c r="B17" s="9" t="s">
        <v>10</v>
      </c>
      <c r="C17" s="10">
        <f t="shared" si="1"/>
        <v>158400000</v>
      </c>
      <c r="D17" s="10">
        <f t="shared" si="5"/>
        <v>0</v>
      </c>
      <c r="E17" s="10">
        <f t="shared" si="5"/>
        <v>0</v>
      </c>
      <c r="F17" s="10">
        <f t="shared" si="5"/>
        <v>0</v>
      </c>
      <c r="G17" s="10">
        <f t="shared" si="5"/>
        <v>0</v>
      </c>
      <c r="H17" s="10">
        <f t="shared" si="5"/>
        <v>158400000</v>
      </c>
      <c r="I17" s="10">
        <f t="shared" si="5"/>
        <v>0</v>
      </c>
      <c r="J17" s="36"/>
    </row>
    <row r="18" spans="1:11" x14ac:dyDescent="0.25">
      <c r="A18" s="33">
        <v>9</v>
      </c>
      <c r="B18" s="9" t="s">
        <v>11</v>
      </c>
      <c r="C18" s="10">
        <f t="shared" si="1"/>
        <v>22200000</v>
      </c>
      <c r="D18" s="10">
        <f t="shared" si="5"/>
        <v>0</v>
      </c>
      <c r="E18" s="10">
        <f t="shared" si="5"/>
        <v>0</v>
      </c>
      <c r="F18" s="10">
        <f t="shared" si="5"/>
        <v>4600000</v>
      </c>
      <c r="G18" s="10">
        <f t="shared" si="5"/>
        <v>0</v>
      </c>
      <c r="H18" s="10">
        <f t="shared" si="5"/>
        <v>17600000</v>
      </c>
      <c r="I18" s="10">
        <f t="shared" si="5"/>
        <v>0</v>
      </c>
      <c r="J18" s="36"/>
    </row>
    <row r="19" spans="1:11" x14ac:dyDescent="0.25">
      <c r="A19" s="33">
        <v>10</v>
      </c>
      <c r="B19" s="9" t="s">
        <v>12</v>
      </c>
      <c r="C19" s="10">
        <f t="shared" si="1"/>
        <v>0</v>
      </c>
      <c r="D19" s="10">
        <f t="shared" si="5"/>
        <v>0</v>
      </c>
      <c r="E19" s="10">
        <f t="shared" si="5"/>
        <v>0</v>
      </c>
      <c r="F19" s="10">
        <f t="shared" si="5"/>
        <v>0</v>
      </c>
      <c r="G19" s="10">
        <f t="shared" si="5"/>
        <v>0</v>
      </c>
      <c r="H19" s="10">
        <f t="shared" si="5"/>
        <v>0</v>
      </c>
      <c r="I19" s="10">
        <f t="shared" si="5"/>
        <v>0</v>
      </c>
      <c r="J19" s="36"/>
    </row>
    <row r="20" spans="1:11" x14ac:dyDescent="0.25">
      <c r="A20" s="33">
        <v>11</v>
      </c>
      <c r="B20" s="11" t="s">
        <v>64</v>
      </c>
      <c r="C20" s="12">
        <f>SUM(D20:I20)</f>
        <v>863181363.72000003</v>
      </c>
      <c r="D20" s="12">
        <f>SUM(D21:D24)</f>
        <v>142766687.31</v>
      </c>
      <c r="E20" s="12">
        <f t="shared" ref="E20:I20" si="6">SUM(E21:E24)</f>
        <v>135689450.98000002</v>
      </c>
      <c r="F20" s="12">
        <f t="shared" si="6"/>
        <v>125965118.43000001</v>
      </c>
      <c r="G20" s="12">
        <f t="shared" si="6"/>
        <v>153418369</v>
      </c>
      <c r="H20" s="12">
        <f t="shared" si="6"/>
        <v>153570369</v>
      </c>
      <c r="I20" s="12">
        <f t="shared" si="6"/>
        <v>151771369</v>
      </c>
      <c r="J20" s="36"/>
      <c r="K20" s="30"/>
    </row>
    <row r="21" spans="1:11" x14ac:dyDescent="0.25">
      <c r="A21" s="33">
        <v>12</v>
      </c>
      <c r="B21" s="9" t="s">
        <v>59</v>
      </c>
      <c r="C21" s="10">
        <f>SUM(D21:I21)</f>
        <v>214600</v>
      </c>
      <c r="D21" s="10">
        <f t="shared" ref="D21:I24" si="7">D50+D195+D272+D324+D374+D448</f>
        <v>64600</v>
      </c>
      <c r="E21" s="10">
        <f t="shared" si="7"/>
        <v>150000</v>
      </c>
      <c r="F21" s="10">
        <f t="shared" si="7"/>
        <v>0</v>
      </c>
      <c r="G21" s="10">
        <f t="shared" si="7"/>
        <v>0</v>
      </c>
      <c r="H21" s="10">
        <f t="shared" si="7"/>
        <v>0</v>
      </c>
      <c r="I21" s="10">
        <f t="shared" si="7"/>
        <v>0</v>
      </c>
      <c r="J21" s="36"/>
    </row>
    <row r="22" spans="1:11" x14ac:dyDescent="0.25">
      <c r="A22" s="33">
        <v>13</v>
      </c>
      <c r="B22" s="9" t="s">
        <v>10</v>
      </c>
      <c r="C22" s="10">
        <f>SUM(D22:I22)</f>
        <v>1244300</v>
      </c>
      <c r="D22" s="10">
        <f t="shared" si="7"/>
        <v>1160100</v>
      </c>
      <c r="E22" s="10">
        <f t="shared" si="7"/>
        <v>84200</v>
      </c>
      <c r="F22" s="10">
        <f t="shared" si="7"/>
        <v>0</v>
      </c>
      <c r="G22" s="10">
        <f t="shared" si="7"/>
        <v>0</v>
      </c>
      <c r="H22" s="10">
        <f t="shared" si="7"/>
        <v>0</v>
      </c>
      <c r="I22" s="10">
        <f t="shared" si="7"/>
        <v>0</v>
      </c>
      <c r="J22" s="36"/>
    </row>
    <row r="23" spans="1:11" x14ac:dyDescent="0.25">
      <c r="A23" s="33">
        <v>14</v>
      </c>
      <c r="B23" s="9" t="s">
        <v>11</v>
      </c>
      <c r="C23" s="10">
        <f>SUM(D23:I23)</f>
        <v>771926240.72000003</v>
      </c>
      <c r="D23" s="10">
        <f t="shared" si="7"/>
        <v>127702587.31</v>
      </c>
      <c r="E23" s="10">
        <f t="shared" si="7"/>
        <v>121085427.98</v>
      </c>
      <c r="F23" s="10">
        <f t="shared" si="7"/>
        <v>110709618.43000001</v>
      </c>
      <c r="G23" s="10">
        <f t="shared" si="7"/>
        <v>137997869</v>
      </c>
      <c r="H23" s="10">
        <f t="shared" si="7"/>
        <v>138094869</v>
      </c>
      <c r="I23" s="10">
        <f t="shared" si="7"/>
        <v>136335869</v>
      </c>
      <c r="J23" s="36"/>
    </row>
    <row r="24" spans="1:11" x14ac:dyDescent="0.25">
      <c r="A24" s="33">
        <v>15</v>
      </c>
      <c r="B24" s="9" t="s">
        <v>12</v>
      </c>
      <c r="C24" s="10">
        <f>SUM(D24:I24)</f>
        <v>89796223</v>
      </c>
      <c r="D24" s="10">
        <f t="shared" si="7"/>
        <v>13839400</v>
      </c>
      <c r="E24" s="10">
        <f t="shared" si="7"/>
        <v>14369823</v>
      </c>
      <c r="F24" s="10">
        <f t="shared" si="7"/>
        <v>15255500</v>
      </c>
      <c r="G24" s="10">
        <f t="shared" si="7"/>
        <v>15420500</v>
      </c>
      <c r="H24" s="10">
        <f t="shared" si="7"/>
        <v>15475500</v>
      </c>
      <c r="I24" s="10">
        <f t="shared" si="7"/>
        <v>15435500</v>
      </c>
      <c r="J24" s="36"/>
    </row>
    <row r="25" spans="1:11" x14ac:dyDescent="0.25">
      <c r="A25" s="33">
        <v>16</v>
      </c>
      <c r="B25" s="206" t="s">
        <v>13</v>
      </c>
      <c r="C25" s="207"/>
      <c r="D25" s="207"/>
      <c r="E25" s="207"/>
      <c r="F25" s="207"/>
      <c r="G25" s="207"/>
      <c r="H25" s="207"/>
      <c r="I25" s="207"/>
      <c r="J25" s="208"/>
    </row>
    <row r="26" spans="1:11" x14ac:dyDescent="0.25">
      <c r="A26" s="33">
        <v>17</v>
      </c>
      <c r="B26" s="209" t="s">
        <v>19</v>
      </c>
      <c r="C26" s="209"/>
      <c r="D26" s="209"/>
      <c r="E26" s="209"/>
      <c r="F26" s="209"/>
      <c r="G26" s="209"/>
      <c r="H26" s="209"/>
      <c r="I26" s="209"/>
      <c r="J26" s="209"/>
    </row>
    <row r="27" spans="1:11" x14ac:dyDescent="0.25">
      <c r="A27" s="33">
        <v>18</v>
      </c>
      <c r="B27" s="13" t="s">
        <v>14</v>
      </c>
      <c r="C27" s="3">
        <f>SUM(D27:I27)</f>
        <v>691124949.64999998</v>
      </c>
      <c r="D27" s="3">
        <f>SUM(D28:D31)</f>
        <v>84813030.400000006</v>
      </c>
      <c r="E27" s="3">
        <f t="shared" ref="E27:I27" si="8">SUM(E28:E31)</f>
        <v>73213713.819999993</v>
      </c>
      <c r="F27" s="3">
        <f t="shared" si="8"/>
        <v>79514174.430000007</v>
      </c>
      <c r="G27" s="3">
        <f t="shared" si="8"/>
        <v>91524677</v>
      </c>
      <c r="H27" s="3">
        <f t="shared" si="8"/>
        <v>269104677</v>
      </c>
      <c r="I27" s="3">
        <f t="shared" si="8"/>
        <v>92954677</v>
      </c>
      <c r="J27" s="36"/>
      <c r="K27" s="30"/>
    </row>
    <row r="28" spans="1:11" x14ac:dyDescent="0.25">
      <c r="A28" s="33">
        <v>19</v>
      </c>
      <c r="B28" s="9" t="s">
        <v>59</v>
      </c>
      <c r="C28" s="1">
        <f>SUM(D28:I28)</f>
        <v>214600</v>
      </c>
      <c r="D28" s="4">
        <f t="shared" ref="D28:I31" si="9">D34+D50</f>
        <v>64600</v>
      </c>
      <c r="E28" s="4">
        <f t="shared" si="9"/>
        <v>150000</v>
      </c>
      <c r="F28" s="4">
        <f t="shared" si="9"/>
        <v>0</v>
      </c>
      <c r="G28" s="4">
        <f t="shared" si="9"/>
        <v>0</v>
      </c>
      <c r="H28" s="4">
        <f t="shared" si="9"/>
        <v>0</v>
      </c>
      <c r="I28" s="4">
        <f t="shared" si="9"/>
        <v>0</v>
      </c>
      <c r="J28" s="36"/>
    </row>
    <row r="29" spans="1:11" x14ac:dyDescent="0.25">
      <c r="A29" s="33">
        <v>20</v>
      </c>
      <c r="B29" s="9" t="s">
        <v>10</v>
      </c>
      <c r="C29" s="1">
        <f>SUM(D29:I29)</f>
        <v>159360100</v>
      </c>
      <c r="D29" s="1">
        <f t="shared" si="9"/>
        <v>960100</v>
      </c>
      <c r="E29" s="1">
        <f t="shared" si="9"/>
        <v>0</v>
      </c>
      <c r="F29" s="1">
        <f t="shared" si="9"/>
        <v>0</v>
      </c>
      <c r="G29" s="1">
        <f t="shared" si="9"/>
        <v>0</v>
      </c>
      <c r="H29" s="1">
        <f t="shared" si="9"/>
        <v>158400000</v>
      </c>
      <c r="I29" s="1">
        <f t="shared" si="9"/>
        <v>0</v>
      </c>
      <c r="J29" s="36"/>
    </row>
    <row r="30" spans="1:11" x14ac:dyDescent="0.25">
      <c r="A30" s="33">
        <v>21</v>
      </c>
      <c r="B30" s="9" t="s">
        <v>11</v>
      </c>
      <c r="C30" s="1">
        <f>SUM(D30:I30)</f>
        <v>476924176.64999998</v>
      </c>
      <c r="D30" s="1">
        <f t="shared" si="9"/>
        <v>75140930.400000006</v>
      </c>
      <c r="E30" s="1">
        <f t="shared" si="9"/>
        <v>65527040.82</v>
      </c>
      <c r="F30" s="1">
        <f t="shared" si="9"/>
        <v>69978674.430000007</v>
      </c>
      <c r="G30" s="1">
        <f t="shared" si="9"/>
        <v>81889177</v>
      </c>
      <c r="H30" s="1">
        <f t="shared" si="9"/>
        <v>101069177</v>
      </c>
      <c r="I30" s="1">
        <f t="shared" si="9"/>
        <v>83319177</v>
      </c>
      <c r="J30" s="36"/>
    </row>
    <row r="31" spans="1:11" x14ac:dyDescent="0.25">
      <c r="A31" s="33">
        <v>22</v>
      </c>
      <c r="B31" s="9" t="s">
        <v>12</v>
      </c>
      <c r="C31" s="1">
        <f>SUM(D31:I31)</f>
        <v>54626073</v>
      </c>
      <c r="D31" s="1">
        <f t="shared" si="9"/>
        <v>8647400</v>
      </c>
      <c r="E31" s="1">
        <f t="shared" si="9"/>
        <v>7536673</v>
      </c>
      <c r="F31" s="1">
        <f t="shared" si="9"/>
        <v>9535500</v>
      </c>
      <c r="G31" s="1">
        <f t="shared" si="9"/>
        <v>9635500</v>
      </c>
      <c r="H31" s="1">
        <f t="shared" si="9"/>
        <v>9635500</v>
      </c>
      <c r="I31" s="1">
        <f t="shared" si="9"/>
        <v>9635500</v>
      </c>
      <c r="J31" s="36"/>
    </row>
    <row r="32" spans="1:11" x14ac:dyDescent="0.25">
      <c r="A32" s="33">
        <v>23</v>
      </c>
      <c r="B32" s="203" t="s">
        <v>20</v>
      </c>
      <c r="C32" s="204"/>
      <c r="D32" s="204"/>
      <c r="E32" s="204"/>
      <c r="F32" s="204"/>
      <c r="G32" s="204"/>
      <c r="H32" s="204"/>
      <c r="I32" s="204"/>
      <c r="J32" s="205"/>
    </row>
    <row r="33" spans="1:10" ht="25.5" x14ac:dyDescent="0.25">
      <c r="A33" s="33">
        <v>24</v>
      </c>
      <c r="B33" s="13" t="s">
        <v>21</v>
      </c>
      <c r="C33" s="3">
        <f>SUM(D33:I33)</f>
        <v>180600000</v>
      </c>
      <c r="D33" s="3">
        <f>SUM(D34:D37)</f>
        <v>0</v>
      </c>
      <c r="E33" s="3">
        <f t="shared" ref="E33:I33" si="10">SUM(E34:E37)</f>
        <v>0</v>
      </c>
      <c r="F33" s="3">
        <f t="shared" si="10"/>
        <v>4600000</v>
      </c>
      <c r="G33" s="3">
        <f t="shared" si="10"/>
        <v>0</v>
      </c>
      <c r="H33" s="3">
        <f t="shared" si="10"/>
        <v>176000000</v>
      </c>
      <c r="I33" s="3">
        <f t="shared" si="10"/>
        <v>0</v>
      </c>
      <c r="J33" s="36"/>
    </row>
    <row r="34" spans="1:10" x14ac:dyDescent="0.25">
      <c r="A34" s="33">
        <v>25</v>
      </c>
      <c r="B34" s="9" t="s">
        <v>59</v>
      </c>
      <c r="C34" s="1">
        <f t="shared" ref="C34:C47" si="11">SUM(D34:I34)</f>
        <v>0</v>
      </c>
      <c r="D34" s="1">
        <f>D39</f>
        <v>0</v>
      </c>
      <c r="E34" s="1">
        <f t="shared" ref="E34:I34" si="12">E39</f>
        <v>0</v>
      </c>
      <c r="F34" s="1">
        <f t="shared" si="12"/>
        <v>0</v>
      </c>
      <c r="G34" s="1">
        <f t="shared" si="12"/>
        <v>0</v>
      </c>
      <c r="H34" s="1">
        <f t="shared" si="12"/>
        <v>0</v>
      </c>
      <c r="I34" s="1">
        <f t="shared" si="12"/>
        <v>0</v>
      </c>
      <c r="J34" s="36"/>
    </row>
    <row r="35" spans="1:10" x14ac:dyDescent="0.25">
      <c r="A35" s="33">
        <v>26</v>
      </c>
      <c r="B35" s="9" t="s">
        <v>10</v>
      </c>
      <c r="C35" s="1">
        <f t="shared" si="11"/>
        <v>158400000</v>
      </c>
      <c r="D35" s="1">
        <f t="shared" ref="D35:I37" si="13">D40</f>
        <v>0</v>
      </c>
      <c r="E35" s="1">
        <f t="shared" si="13"/>
        <v>0</v>
      </c>
      <c r="F35" s="1">
        <f t="shared" si="13"/>
        <v>0</v>
      </c>
      <c r="G35" s="1">
        <f t="shared" si="13"/>
        <v>0</v>
      </c>
      <c r="H35" s="1">
        <f t="shared" si="13"/>
        <v>158400000</v>
      </c>
      <c r="I35" s="1">
        <f t="shared" si="13"/>
        <v>0</v>
      </c>
      <c r="J35" s="36"/>
    </row>
    <row r="36" spans="1:10" x14ac:dyDescent="0.25">
      <c r="A36" s="33">
        <v>27</v>
      </c>
      <c r="B36" s="9" t="s">
        <v>11</v>
      </c>
      <c r="C36" s="1">
        <f t="shared" si="11"/>
        <v>22200000</v>
      </c>
      <c r="D36" s="1">
        <f t="shared" si="13"/>
        <v>0</v>
      </c>
      <c r="E36" s="1">
        <f t="shared" si="13"/>
        <v>0</v>
      </c>
      <c r="F36" s="1">
        <f>F41+F46</f>
        <v>4600000</v>
      </c>
      <c r="G36" s="1">
        <f t="shared" si="13"/>
        <v>0</v>
      </c>
      <c r="H36" s="1">
        <f t="shared" si="13"/>
        <v>17600000</v>
      </c>
      <c r="I36" s="1">
        <f t="shared" si="13"/>
        <v>0</v>
      </c>
      <c r="J36" s="36"/>
    </row>
    <row r="37" spans="1:10" x14ac:dyDescent="0.25">
      <c r="A37" s="33">
        <v>28</v>
      </c>
      <c r="B37" s="9" t="s">
        <v>12</v>
      </c>
      <c r="C37" s="1">
        <f t="shared" si="11"/>
        <v>0</v>
      </c>
      <c r="D37" s="1">
        <f t="shared" si="13"/>
        <v>0</v>
      </c>
      <c r="E37" s="1">
        <f t="shared" si="13"/>
        <v>0</v>
      </c>
      <c r="F37" s="1">
        <f t="shared" si="13"/>
        <v>0</v>
      </c>
      <c r="G37" s="1">
        <f t="shared" si="13"/>
        <v>0</v>
      </c>
      <c r="H37" s="1">
        <f t="shared" si="13"/>
        <v>0</v>
      </c>
      <c r="I37" s="1">
        <f t="shared" si="13"/>
        <v>0</v>
      </c>
      <c r="J37" s="36"/>
    </row>
    <row r="38" spans="1:10" ht="40.5" x14ac:dyDescent="0.25">
      <c r="A38" s="33">
        <v>29</v>
      </c>
      <c r="B38" s="11" t="s">
        <v>113</v>
      </c>
      <c r="C38" s="3">
        <f>SUM(D38:I38)</f>
        <v>180000000</v>
      </c>
      <c r="D38" s="3">
        <f>SUM(D39:D42)</f>
        <v>0</v>
      </c>
      <c r="E38" s="3">
        <f t="shared" ref="E38:I38" si="14">SUM(E39:E42)</f>
        <v>0</v>
      </c>
      <c r="F38" s="3">
        <f t="shared" si="14"/>
        <v>4000000</v>
      </c>
      <c r="G38" s="3">
        <f t="shared" si="14"/>
        <v>0</v>
      </c>
      <c r="H38" s="3">
        <f t="shared" si="14"/>
        <v>176000000</v>
      </c>
      <c r="I38" s="3">
        <f t="shared" si="14"/>
        <v>0</v>
      </c>
      <c r="J38" s="36" t="s">
        <v>72</v>
      </c>
    </row>
    <row r="39" spans="1:10" x14ac:dyDescent="0.25">
      <c r="A39" s="33">
        <v>30</v>
      </c>
      <c r="B39" s="9" t="str">
        <f t="shared" ref="B39:B47" si="15">B34</f>
        <v>федеральный бюджет</v>
      </c>
      <c r="C39" s="1">
        <f t="shared" si="11"/>
        <v>0</v>
      </c>
      <c r="D39" s="1">
        <v>0</v>
      </c>
      <c r="E39" s="1">
        <v>0</v>
      </c>
      <c r="F39" s="1">
        <v>0</v>
      </c>
      <c r="G39" s="1">
        <v>0</v>
      </c>
      <c r="H39" s="1">
        <v>0</v>
      </c>
      <c r="I39" s="1">
        <v>0</v>
      </c>
      <c r="J39" s="36"/>
    </row>
    <row r="40" spans="1:10" x14ac:dyDescent="0.25">
      <c r="A40" s="33">
        <v>31</v>
      </c>
      <c r="B40" s="9" t="str">
        <f t="shared" si="15"/>
        <v>областной бюджет</v>
      </c>
      <c r="C40" s="1">
        <f t="shared" si="11"/>
        <v>158400000</v>
      </c>
      <c r="D40" s="1">
        <v>0</v>
      </c>
      <c r="E40" s="1">
        <v>0</v>
      </c>
      <c r="F40" s="1">
        <v>0</v>
      </c>
      <c r="G40" s="1">
        <v>0</v>
      </c>
      <c r="H40" s="1">
        <v>158400000</v>
      </c>
      <c r="I40" s="1">
        <v>0</v>
      </c>
      <c r="J40" s="36"/>
    </row>
    <row r="41" spans="1:10" x14ac:dyDescent="0.25">
      <c r="A41" s="33">
        <v>32</v>
      </c>
      <c r="B41" s="9" t="str">
        <f t="shared" si="15"/>
        <v>местный бюджет</v>
      </c>
      <c r="C41" s="1">
        <f t="shared" si="11"/>
        <v>21600000</v>
      </c>
      <c r="D41" s="1">
        <v>0</v>
      </c>
      <c r="E41" s="1">
        <v>0</v>
      </c>
      <c r="F41" s="1">
        <v>4000000</v>
      </c>
      <c r="G41" s="1">
        <v>0</v>
      </c>
      <c r="H41" s="1">
        <v>17600000</v>
      </c>
      <c r="I41" s="1">
        <v>0</v>
      </c>
      <c r="J41" s="36"/>
    </row>
    <row r="42" spans="1:10" x14ac:dyDescent="0.25">
      <c r="A42" s="33">
        <v>33</v>
      </c>
      <c r="B42" s="9" t="str">
        <f t="shared" si="15"/>
        <v>внебюджетные источники</v>
      </c>
      <c r="C42" s="1">
        <f t="shared" si="11"/>
        <v>0</v>
      </c>
      <c r="D42" s="1">
        <v>0</v>
      </c>
      <c r="E42" s="1">
        <v>0</v>
      </c>
      <c r="F42" s="1">
        <v>0</v>
      </c>
      <c r="G42" s="1">
        <v>0</v>
      </c>
      <c r="H42" s="1">
        <v>0</v>
      </c>
      <c r="I42" s="1">
        <v>0</v>
      </c>
      <c r="J42" s="36"/>
    </row>
    <row r="43" spans="1:10" ht="54" x14ac:dyDescent="0.25">
      <c r="A43" s="33"/>
      <c r="B43" s="11" t="s">
        <v>129</v>
      </c>
      <c r="C43" s="3">
        <f>SUM(D43:I43)</f>
        <v>600000</v>
      </c>
      <c r="D43" s="3">
        <f>SUM(D44:D47)</f>
        <v>0</v>
      </c>
      <c r="E43" s="3">
        <f t="shared" ref="E43:I43" si="16">SUM(E44:E47)</f>
        <v>0</v>
      </c>
      <c r="F43" s="3">
        <f t="shared" si="16"/>
        <v>600000</v>
      </c>
      <c r="G43" s="3">
        <f t="shared" si="16"/>
        <v>0</v>
      </c>
      <c r="H43" s="3">
        <f t="shared" si="16"/>
        <v>0</v>
      </c>
      <c r="I43" s="3">
        <f t="shared" si="16"/>
        <v>0</v>
      </c>
      <c r="J43" s="36" t="s">
        <v>72</v>
      </c>
    </row>
    <row r="44" spans="1:10" x14ac:dyDescent="0.25">
      <c r="A44" s="33"/>
      <c r="B44" s="9" t="str">
        <f t="shared" si="15"/>
        <v>федеральный бюджет</v>
      </c>
      <c r="C44" s="1">
        <f t="shared" si="11"/>
        <v>0</v>
      </c>
      <c r="D44" s="1">
        <v>0</v>
      </c>
      <c r="E44" s="1">
        <v>0</v>
      </c>
      <c r="F44" s="1">
        <v>0</v>
      </c>
      <c r="G44" s="1">
        <v>0</v>
      </c>
      <c r="H44" s="1">
        <v>0</v>
      </c>
      <c r="I44" s="1">
        <v>0</v>
      </c>
      <c r="J44" s="36"/>
    </row>
    <row r="45" spans="1:10" x14ac:dyDescent="0.25">
      <c r="A45" s="33"/>
      <c r="B45" s="9" t="str">
        <f t="shared" si="15"/>
        <v>областной бюджет</v>
      </c>
      <c r="C45" s="1">
        <f t="shared" si="11"/>
        <v>0</v>
      </c>
      <c r="D45" s="1">
        <v>0</v>
      </c>
      <c r="E45" s="1">
        <v>0</v>
      </c>
      <c r="F45" s="1">
        <v>0</v>
      </c>
      <c r="G45" s="1">
        <v>0</v>
      </c>
      <c r="H45" s="1">
        <v>0</v>
      </c>
      <c r="I45" s="1">
        <v>0</v>
      </c>
      <c r="J45" s="36"/>
    </row>
    <row r="46" spans="1:10" x14ac:dyDescent="0.25">
      <c r="A46" s="33"/>
      <c r="B46" s="9" t="str">
        <f t="shared" si="15"/>
        <v>местный бюджет</v>
      </c>
      <c r="C46" s="1">
        <f t="shared" si="11"/>
        <v>600000</v>
      </c>
      <c r="D46" s="1">
        <v>0</v>
      </c>
      <c r="E46" s="1">
        <v>0</v>
      </c>
      <c r="F46" s="1">
        <v>600000</v>
      </c>
      <c r="G46" s="1">
        <v>0</v>
      </c>
      <c r="H46" s="1">
        <v>0</v>
      </c>
      <c r="I46" s="1">
        <v>0</v>
      </c>
      <c r="J46" s="36"/>
    </row>
    <row r="47" spans="1:10" x14ac:dyDescent="0.25">
      <c r="A47" s="33"/>
      <c r="B47" s="9" t="str">
        <f t="shared" si="15"/>
        <v>внебюджетные источники</v>
      </c>
      <c r="C47" s="1">
        <f t="shared" si="11"/>
        <v>0</v>
      </c>
      <c r="D47" s="1">
        <v>0</v>
      </c>
      <c r="E47" s="1">
        <v>0</v>
      </c>
      <c r="F47" s="1">
        <v>0</v>
      </c>
      <c r="G47" s="1">
        <v>0</v>
      </c>
      <c r="H47" s="1">
        <v>0</v>
      </c>
      <c r="I47" s="1">
        <v>0</v>
      </c>
      <c r="J47" s="36"/>
    </row>
    <row r="48" spans="1:10" x14ac:dyDescent="0.25">
      <c r="A48" s="33">
        <v>34</v>
      </c>
      <c r="B48" s="210" t="s">
        <v>22</v>
      </c>
      <c r="C48" s="210"/>
      <c r="D48" s="210"/>
      <c r="E48" s="210"/>
      <c r="F48" s="210"/>
      <c r="G48" s="210"/>
      <c r="H48" s="210"/>
      <c r="I48" s="210"/>
      <c r="J48" s="210"/>
    </row>
    <row r="49" spans="1:10" ht="25.5" x14ac:dyDescent="0.25">
      <c r="A49" s="33">
        <v>35</v>
      </c>
      <c r="B49" s="13" t="s">
        <v>23</v>
      </c>
      <c r="C49" s="3">
        <f t="shared" ref="C49:C83" si="17">SUM(D49:I49)</f>
        <v>510524949.64999998</v>
      </c>
      <c r="D49" s="3">
        <f>SUM(D50:D53)</f>
        <v>84813030.400000006</v>
      </c>
      <c r="E49" s="3">
        <f t="shared" ref="E49:I49" si="18">SUM(E50:E53)</f>
        <v>73213713.819999993</v>
      </c>
      <c r="F49" s="3">
        <f t="shared" si="18"/>
        <v>74914174.430000007</v>
      </c>
      <c r="G49" s="3">
        <f t="shared" si="18"/>
        <v>91524677</v>
      </c>
      <c r="H49" s="3">
        <f t="shared" si="18"/>
        <v>93104677</v>
      </c>
      <c r="I49" s="3">
        <f t="shared" si="18"/>
        <v>92954677</v>
      </c>
      <c r="J49" s="36"/>
    </row>
    <row r="50" spans="1:10" x14ac:dyDescent="0.25">
      <c r="A50" s="33">
        <v>36</v>
      </c>
      <c r="B50" s="9" t="s">
        <v>59</v>
      </c>
      <c r="C50" s="1">
        <f t="shared" si="17"/>
        <v>214600</v>
      </c>
      <c r="D50" s="1">
        <f t="shared" ref="D50:I53" si="19">D55+D65+D83+D88+D93+D136+D141+D146+D156+D166+D176</f>
        <v>64600</v>
      </c>
      <c r="E50" s="1">
        <f t="shared" si="19"/>
        <v>150000</v>
      </c>
      <c r="F50" s="1">
        <f t="shared" si="19"/>
        <v>0</v>
      </c>
      <c r="G50" s="1">
        <f t="shared" si="19"/>
        <v>0</v>
      </c>
      <c r="H50" s="1">
        <f t="shared" si="19"/>
        <v>0</v>
      </c>
      <c r="I50" s="1">
        <f t="shared" si="19"/>
        <v>0</v>
      </c>
      <c r="J50" s="36"/>
    </row>
    <row r="51" spans="1:10" x14ac:dyDescent="0.25">
      <c r="A51" s="33">
        <v>37</v>
      </c>
      <c r="B51" s="9" t="s">
        <v>10</v>
      </c>
      <c r="C51" s="1">
        <f t="shared" si="17"/>
        <v>960100</v>
      </c>
      <c r="D51" s="1">
        <f t="shared" si="19"/>
        <v>960100</v>
      </c>
      <c r="E51" s="1">
        <f t="shared" si="19"/>
        <v>0</v>
      </c>
      <c r="F51" s="1">
        <f t="shared" si="19"/>
        <v>0</v>
      </c>
      <c r="G51" s="1">
        <f t="shared" si="19"/>
        <v>0</v>
      </c>
      <c r="H51" s="1">
        <f t="shared" si="19"/>
        <v>0</v>
      </c>
      <c r="I51" s="1">
        <f t="shared" si="19"/>
        <v>0</v>
      </c>
      <c r="J51" s="36"/>
    </row>
    <row r="52" spans="1:10" x14ac:dyDescent="0.25">
      <c r="A52" s="33">
        <v>38</v>
      </c>
      <c r="B52" s="9" t="s">
        <v>11</v>
      </c>
      <c r="C52" s="1">
        <f t="shared" si="17"/>
        <v>454724176.64999998</v>
      </c>
      <c r="D52" s="1">
        <f t="shared" si="19"/>
        <v>75140930.400000006</v>
      </c>
      <c r="E52" s="1">
        <f t="shared" si="19"/>
        <v>65527040.82</v>
      </c>
      <c r="F52" s="1">
        <f t="shared" si="19"/>
        <v>65378674.43</v>
      </c>
      <c r="G52" s="1">
        <f t="shared" si="19"/>
        <v>81889177</v>
      </c>
      <c r="H52" s="1">
        <f t="shared" si="19"/>
        <v>83469177</v>
      </c>
      <c r="I52" s="1">
        <f t="shared" si="19"/>
        <v>83319177</v>
      </c>
      <c r="J52" s="36"/>
    </row>
    <row r="53" spans="1:10" x14ac:dyDescent="0.25">
      <c r="A53" s="33">
        <v>39</v>
      </c>
      <c r="B53" s="9" t="s">
        <v>12</v>
      </c>
      <c r="C53" s="1">
        <f t="shared" si="17"/>
        <v>54626073</v>
      </c>
      <c r="D53" s="1">
        <f t="shared" si="19"/>
        <v>8647400</v>
      </c>
      <c r="E53" s="1">
        <f t="shared" si="19"/>
        <v>7536673</v>
      </c>
      <c r="F53" s="1">
        <f t="shared" si="19"/>
        <v>9535500</v>
      </c>
      <c r="G53" s="1">
        <f t="shared" si="19"/>
        <v>9635500</v>
      </c>
      <c r="H53" s="1">
        <f t="shared" si="19"/>
        <v>9635500</v>
      </c>
      <c r="I53" s="1">
        <f t="shared" si="19"/>
        <v>9635500</v>
      </c>
      <c r="J53" s="36"/>
    </row>
    <row r="54" spans="1:10" ht="27" x14ac:dyDescent="0.25">
      <c r="A54" s="33">
        <v>40</v>
      </c>
      <c r="B54" s="11" t="s">
        <v>82</v>
      </c>
      <c r="C54" s="2">
        <f t="shared" ref="C54:C58" si="20">SUM(D54:I54)</f>
        <v>23297610.879999999</v>
      </c>
      <c r="D54" s="2">
        <f>SUM(D55:D58)</f>
        <v>3782500.88</v>
      </c>
      <c r="E54" s="2">
        <f>SUM(E55:E58)</f>
        <v>2915110</v>
      </c>
      <c r="F54" s="2">
        <f t="shared" ref="F54:I54" si="21">SUM(F55:F58)</f>
        <v>2400000</v>
      </c>
      <c r="G54" s="2">
        <f t="shared" si="21"/>
        <v>4000000</v>
      </c>
      <c r="H54" s="2">
        <f t="shared" si="21"/>
        <v>4200000</v>
      </c>
      <c r="I54" s="2">
        <f t="shared" si="21"/>
        <v>6000000</v>
      </c>
      <c r="J54" s="36"/>
    </row>
    <row r="55" spans="1:10" x14ac:dyDescent="0.25">
      <c r="A55" s="33">
        <v>41</v>
      </c>
      <c r="B55" s="9" t="s">
        <v>59</v>
      </c>
      <c r="C55" s="1">
        <f t="shared" si="20"/>
        <v>0</v>
      </c>
      <c r="D55" s="1">
        <v>0</v>
      </c>
      <c r="E55" s="1">
        <v>0</v>
      </c>
      <c r="F55" s="1">
        <v>0</v>
      </c>
      <c r="G55" s="1">
        <v>0</v>
      </c>
      <c r="H55" s="1">
        <v>0</v>
      </c>
      <c r="I55" s="1">
        <v>0</v>
      </c>
      <c r="J55" s="36"/>
    </row>
    <row r="56" spans="1:10" x14ac:dyDescent="0.25">
      <c r="A56" s="33">
        <v>42</v>
      </c>
      <c r="B56" s="9" t="s">
        <v>10</v>
      </c>
      <c r="C56" s="1">
        <f t="shared" si="20"/>
        <v>0</v>
      </c>
      <c r="D56" s="1">
        <v>0</v>
      </c>
      <c r="E56" s="1">
        <v>0</v>
      </c>
      <c r="F56" s="1">
        <v>0</v>
      </c>
      <c r="G56" s="1">
        <v>0</v>
      </c>
      <c r="H56" s="1">
        <v>0</v>
      </c>
      <c r="I56" s="1">
        <v>0</v>
      </c>
      <c r="J56" s="36"/>
    </row>
    <row r="57" spans="1:10" x14ac:dyDescent="0.25">
      <c r="A57" s="33">
        <v>43</v>
      </c>
      <c r="B57" s="9" t="s">
        <v>11</v>
      </c>
      <c r="C57" s="1">
        <f t="shared" si="20"/>
        <v>23297610.879999999</v>
      </c>
      <c r="D57" s="1">
        <f>2400000+D62+30000-100000+300000+421000+582500.88</f>
        <v>3782500.88</v>
      </c>
      <c r="E57" s="1">
        <f>2400000+E62+695000-200000-29890</f>
        <v>2915110</v>
      </c>
      <c r="F57" s="1">
        <v>2400000</v>
      </c>
      <c r="G57" s="1">
        <v>4000000</v>
      </c>
      <c r="H57" s="1">
        <v>4200000</v>
      </c>
      <c r="I57" s="1">
        <v>6000000</v>
      </c>
      <c r="J57" s="36"/>
    </row>
    <row r="58" spans="1:10" x14ac:dyDescent="0.25">
      <c r="A58" s="33">
        <v>44</v>
      </c>
      <c r="B58" s="9" t="s">
        <v>12</v>
      </c>
      <c r="C58" s="1">
        <f t="shared" si="20"/>
        <v>0</v>
      </c>
      <c r="D58" s="1">
        <v>0</v>
      </c>
      <c r="E58" s="1">
        <v>0</v>
      </c>
      <c r="F58" s="1">
        <v>0</v>
      </c>
      <c r="G58" s="1">
        <v>0</v>
      </c>
      <c r="H58" s="1">
        <v>0</v>
      </c>
      <c r="I58" s="1">
        <v>0</v>
      </c>
      <c r="J58" s="36"/>
    </row>
    <row r="59" spans="1:10" ht="81" x14ac:dyDescent="0.25">
      <c r="A59" s="33">
        <v>45</v>
      </c>
      <c r="B59" s="11" t="s">
        <v>115</v>
      </c>
      <c r="C59" s="2">
        <f t="shared" ref="C59:C61" si="22">SUM(D59:I59)</f>
        <v>199000</v>
      </c>
      <c r="D59" s="2">
        <f>SUM(D60:D63)</f>
        <v>149000</v>
      </c>
      <c r="E59" s="2">
        <f t="shared" ref="E59:I59" si="23">SUM(E60:E63)</f>
        <v>50000</v>
      </c>
      <c r="F59" s="2">
        <f t="shared" si="23"/>
        <v>0</v>
      </c>
      <c r="G59" s="2">
        <f t="shared" si="23"/>
        <v>0</v>
      </c>
      <c r="H59" s="2">
        <f t="shared" si="23"/>
        <v>0</v>
      </c>
      <c r="I59" s="2">
        <f t="shared" si="23"/>
        <v>0</v>
      </c>
      <c r="J59" s="36" t="s">
        <v>72</v>
      </c>
    </row>
    <row r="60" spans="1:10" x14ac:dyDescent="0.25">
      <c r="A60" s="33">
        <v>46</v>
      </c>
      <c r="B60" s="9" t="s">
        <v>59</v>
      </c>
      <c r="C60" s="1">
        <f t="shared" si="22"/>
        <v>0</v>
      </c>
      <c r="D60" s="1">
        <v>0</v>
      </c>
      <c r="E60" s="1">
        <v>0</v>
      </c>
      <c r="F60" s="1">
        <v>0</v>
      </c>
      <c r="G60" s="1">
        <v>0</v>
      </c>
      <c r="H60" s="1">
        <v>0</v>
      </c>
      <c r="I60" s="1">
        <v>0</v>
      </c>
      <c r="J60" s="15"/>
    </row>
    <row r="61" spans="1:10" x14ac:dyDescent="0.25">
      <c r="A61" s="33">
        <v>47</v>
      </c>
      <c r="B61" s="9" t="s">
        <v>10</v>
      </c>
      <c r="C61" s="1">
        <f t="shared" si="22"/>
        <v>0</v>
      </c>
      <c r="D61" s="1">
        <v>0</v>
      </c>
      <c r="E61" s="1">
        <v>0</v>
      </c>
      <c r="F61" s="1">
        <v>0</v>
      </c>
      <c r="G61" s="1">
        <v>0</v>
      </c>
      <c r="H61" s="1">
        <v>0</v>
      </c>
      <c r="I61" s="1">
        <v>0</v>
      </c>
      <c r="J61" s="36"/>
    </row>
    <row r="62" spans="1:10" x14ac:dyDescent="0.25">
      <c r="A62" s="33">
        <v>48</v>
      </c>
      <c r="B62" s="9" t="s">
        <v>11</v>
      </c>
      <c r="C62" s="1">
        <f>SUM(D62:I62)</f>
        <v>199000</v>
      </c>
      <c r="D62" s="1">
        <v>149000</v>
      </c>
      <c r="E62" s="1">
        <v>50000</v>
      </c>
      <c r="F62" s="1">
        <v>0</v>
      </c>
      <c r="G62" s="1">
        <v>0</v>
      </c>
      <c r="H62" s="1">
        <v>0</v>
      </c>
      <c r="I62" s="1">
        <v>0</v>
      </c>
      <c r="J62" s="36"/>
    </row>
    <row r="63" spans="1:10" x14ac:dyDescent="0.25">
      <c r="A63" s="33">
        <v>49</v>
      </c>
      <c r="B63" s="9" t="s">
        <v>12</v>
      </c>
      <c r="C63" s="1">
        <f t="shared" ref="C63" si="24">SUM(D63:I63)</f>
        <v>0</v>
      </c>
      <c r="D63" s="1"/>
      <c r="E63" s="1"/>
      <c r="F63" s="1"/>
      <c r="G63" s="1"/>
      <c r="H63" s="1"/>
      <c r="I63" s="1"/>
      <c r="J63" s="36"/>
    </row>
    <row r="64" spans="1:10" ht="67.5" x14ac:dyDescent="0.25">
      <c r="A64" s="33">
        <v>50</v>
      </c>
      <c r="B64" s="11" t="s">
        <v>78</v>
      </c>
      <c r="C64" s="2">
        <f t="shared" si="17"/>
        <v>5864994.8200000003</v>
      </c>
      <c r="D64" s="2">
        <f>SUM(D65:D68)</f>
        <v>3764994.8200000003</v>
      </c>
      <c r="E64" s="2">
        <f t="shared" ref="E64:I64" si="25">SUM(E65:E68)</f>
        <v>400000</v>
      </c>
      <c r="F64" s="2">
        <f t="shared" si="25"/>
        <v>300000</v>
      </c>
      <c r="G64" s="2">
        <f t="shared" si="25"/>
        <v>600000</v>
      </c>
      <c r="H64" s="2">
        <f t="shared" si="25"/>
        <v>400000</v>
      </c>
      <c r="I64" s="2">
        <f t="shared" si="25"/>
        <v>400000</v>
      </c>
      <c r="J64" s="36" t="s">
        <v>72</v>
      </c>
    </row>
    <row r="65" spans="1:10" x14ac:dyDescent="0.25">
      <c r="A65" s="33">
        <v>51</v>
      </c>
      <c r="B65" s="9" t="s">
        <v>59</v>
      </c>
      <c r="C65" s="1">
        <f t="shared" si="17"/>
        <v>0</v>
      </c>
      <c r="D65" s="1">
        <v>0</v>
      </c>
      <c r="E65" s="1">
        <v>0</v>
      </c>
      <c r="F65" s="1">
        <v>0</v>
      </c>
      <c r="G65" s="1">
        <v>0</v>
      </c>
      <c r="H65" s="1">
        <v>0</v>
      </c>
      <c r="I65" s="1">
        <v>0</v>
      </c>
      <c r="J65" s="36"/>
    </row>
    <row r="66" spans="1:10" x14ac:dyDescent="0.25">
      <c r="A66" s="33">
        <v>52</v>
      </c>
      <c r="B66" s="9" t="s">
        <v>10</v>
      </c>
      <c r="C66" s="1">
        <f t="shared" si="17"/>
        <v>650000</v>
      </c>
      <c r="D66" s="1">
        <v>650000</v>
      </c>
      <c r="E66" s="1">
        <f t="shared" ref="D66:I68" si="26">(E70+E74)*1000</f>
        <v>0</v>
      </c>
      <c r="F66" s="1">
        <f t="shared" si="26"/>
        <v>0</v>
      </c>
      <c r="G66" s="1">
        <f t="shared" si="26"/>
        <v>0</v>
      </c>
      <c r="H66" s="1">
        <f t="shared" si="26"/>
        <v>0</v>
      </c>
      <c r="I66" s="1">
        <f t="shared" si="26"/>
        <v>0</v>
      </c>
      <c r="J66" s="36"/>
    </row>
    <row r="67" spans="1:10" x14ac:dyDescent="0.25">
      <c r="A67" s="33">
        <v>53</v>
      </c>
      <c r="B67" s="9" t="s">
        <v>11</v>
      </c>
      <c r="C67" s="1">
        <f t="shared" si="17"/>
        <v>3114994.8200000003</v>
      </c>
      <c r="D67" s="1">
        <f>(D71+D75)*1000+D80</f>
        <v>2814994.8200000003</v>
      </c>
      <c r="E67" s="1">
        <f>(E71+E75)*1000</f>
        <v>100000</v>
      </c>
      <c r="F67" s="1">
        <f t="shared" si="26"/>
        <v>0</v>
      </c>
      <c r="G67" s="1">
        <f t="shared" si="26"/>
        <v>200000</v>
      </c>
      <c r="H67" s="1">
        <f t="shared" si="26"/>
        <v>0</v>
      </c>
      <c r="I67" s="1">
        <f t="shared" si="26"/>
        <v>0</v>
      </c>
      <c r="J67" s="36"/>
    </row>
    <row r="68" spans="1:10" x14ac:dyDescent="0.25">
      <c r="A68" s="33">
        <v>54</v>
      </c>
      <c r="B68" s="9" t="s">
        <v>12</v>
      </c>
      <c r="C68" s="1">
        <f t="shared" si="17"/>
        <v>2100000</v>
      </c>
      <c r="D68" s="1">
        <f t="shared" si="26"/>
        <v>300000</v>
      </c>
      <c r="E68" s="1">
        <f>(E72+E76)*1000</f>
        <v>300000</v>
      </c>
      <c r="F68" s="1">
        <f t="shared" si="26"/>
        <v>300000</v>
      </c>
      <c r="G68" s="1">
        <f t="shared" si="26"/>
        <v>400000</v>
      </c>
      <c r="H68" s="1">
        <f t="shared" si="26"/>
        <v>400000</v>
      </c>
      <c r="I68" s="1">
        <f t="shared" si="26"/>
        <v>400000</v>
      </c>
      <c r="J68" s="36"/>
    </row>
    <row r="69" spans="1:10" ht="51" hidden="1" x14ac:dyDescent="0.25">
      <c r="A69" s="33">
        <v>46</v>
      </c>
      <c r="B69" s="9" t="s">
        <v>65</v>
      </c>
      <c r="C69" s="3">
        <f t="shared" si="17"/>
        <v>200</v>
      </c>
      <c r="D69" s="3">
        <f t="shared" ref="D69:I69" si="27">SUM(D70:D72)</f>
        <v>0</v>
      </c>
      <c r="E69" s="3">
        <f t="shared" si="27"/>
        <v>0</v>
      </c>
      <c r="F69" s="3">
        <f t="shared" si="27"/>
        <v>0</v>
      </c>
      <c r="G69" s="3">
        <f t="shared" si="27"/>
        <v>200</v>
      </c>
      <c r="H69" s="3">
        <f t="shared" si="27"/>
        <v>0</v>
      </c>
      <c r="I69" s="3">
        <f t="shared" si="27"/>
        <v>0</v>
      </c>
      <c r="J69" s="36"/>
    </row>
    <row r="70" spans="1:10" hidden="1" x14ac:dyDescent="0.25">
      <c r="A70" s="33">
        <v>47</v>
      </c>
      <c r="B70" s="9" t="s">
        <v>10</v>
      </c>
      <c r="C70" s="1">
        <f t="shared" si="17"/>
        <v>0</v>
      </c>
      <c r="D70" s="1"/>
      <c r="E70" s="1"/>
      <c r="F70" s="1"/>
      <c r="G70" s="1"/>
      <c r="H70" s="1"/>
      <c r="I70" s="1"/>
      <c r="J70" s="36"/>
    </row>
    <row r="71" spans="1:10" hidden="1" x14ac:dyDescent="0.25">
      <c r="A71" s="33">
        <v>48</v>
      </c>
      <c r="B71" s="9" t="s">
        <v>11</v>
      </c>
      <c r="C71" s="1">
        <f t="shared" si="17"/>
        <v>200</v>
      </c>
      <c r="D71" s="1"/>
      <c r="E71" s="1"/>
      <c r="F71" s="1"/>
      <c r="G71" s="1">
        <v>200</v>
      </c>
      <c r="H71" s="1"/>
      <c r="I71" s="1"/>
      <c r="J71" s="36"/>
    </row>
    <row r="72" spans="1:10" hidden="1" x14ac:dyDescent="0.25">
      <c r="A72" s="33">
        <v>49</v>
      </c>
      <c r="B72" s="9" t="s">
        <v>12</v>
      </c>
      <c r="C72" s="1">
        <f t="shared" si="17"/>
        <v>0</v>
      </c>
      <c r="D72" s="1"/>
      <c r="E72" s="1"/>
      <c r="F72" s="1"/>
      <c r="G72" s="1"/>
      <c r="H72" s="1"/>
      <c r="I72" s="1"/>
      <c r="J72" s="36"/>
    </row>
    <row r="73" spans="1:10" ht="51" hidden="1" x14ac:dyDescent="0.25">
      <c r="A73" s="33">
        <v>50</v>
      </c>
      <c r="B73" s="9" t="s">
        <v>24</v>
      </c>
      <c r="C73" s="3">
        <f t="shared" si="17"/>
        <v>3900</v>
      </c>
      <c r="D73" s="3">
        <f t="shared" ref="D73:I73" si="28">SUM(D74:D76)</f>
        <v>2000</v>
      </c>
      <c r="E73" s="3">
        <f t="shared" si="28"/>
        <v>400</v>
      </c>
      <c r="F73" s="3">
        <f t="shared" si="28"/>
        <v>300</v>
      </c>
      <c r="G73" s="3">
        <f t="shared" si="28"/>
        <v>400</v>
      </c>
      <c r="H73" s="3">
        <f t="shared" si="28"/>
        <v>400</v>
      </c>
      <c r="I73" s="3">
        <f t="shared" si="28"/>
        <v>400</v>
      </c>
      <c r="J73" s="36" t="s">
        <v>9</v>
      </c>
    </row>
    <row r="74" spans="1:10" hidden="1" x14ac:dyDescent="0.25">
      <c r="A74" s="33">
        <v>51</v>
      </c>
      <c r="B74" s="9" t="s">
        <v>10</v>
      </c>
      <c r="C74" s="1">
        <f t="shared" si="17"/>
        <v>0</v>
      </c>
      <c r="D74" s="1"/>
      <c r="E74" s="1"/>
      <c r="F74" s="1"/>
      <c r="G74" s="1"/>
      <c r="H74" s="1"/>
      <c r="I74" s="1"/>
      <c r="J74" s="36"/>
    </row>
    <row r="75" spans="1:10" hidden="1" x14ac:dyDescent="0.25">
      <c r="A75" s="33">
        <v>52</v>
      </c>
      <c r="B75" s="9" t="s">
        <v>11</v>
      </c>
      <c r="C75" s="1">
        <f t="shared" si="17"/>
        <v>1800</v>
      </c>
      <c r="D75" s="1">
        <v>1700</v>
      </c>
      <c r="E75" s="1">
        <v>100</v>
      </c>
      <c r="F75" s="1">
        <v>0</v>
      </c>
      <c r="G75" s="1"/>
      <c r="H75" s="1"/>
      <c r="I75" s="1"/>
      <c r="J75" s="36"/>
    </row>
    <row r="76" spans="1:10" hidden="1" x14ac:dyDescent="0.25">
      <c r="A76" s="33">
        <v>53</v>
      </c>
      <c r="B76" s="9" t="s">
        <v>12</v>
      </c>
      <c r="C76" s="1">
        <f t="shared" si="17"/>
        <v>2100</v>
      </c>
      <c r="D76" s="1">
        <v>300</v>
      </c>
      <c r="E76" s="1">
        <v>300</v>
      </c>
      <c r="F76" s="1">
        <v>300</v>
      </c>
      <c r="G76" s="1">
        <v>400</v>
      </c>
      <c r="H76" s="1">
        <v>400</v>
      </c>
      <c r="I76" s="1">
        <v>400</v>
      </c>
      <c r="J76" s="36"/>
    </row>
    <row r="77" spans="1:10" ht="81" x14ac:dyDescent="0.25">
      <c r="A77" s="33">
        <v>55</v>
      </c>
      <c r="B77" s="11" t="s">
        <v>116</v>
      </c>
      <c r="C77" s="2">
        <f t="shared" ref="C77:C79" si="29">SUM(D77:I77)</f>
        <v>1114994.82</v>
      </c>
      <c r="D77" s="2">
        <f>SUM(D78:D81)</f>
        <v>1114994.82</v>
      </c>
      <c r="E77" s="2">
        <f t="shared" ref="E77:I77" si="30">SUM(E78:E81)</f>
        <v>0</v>
      </c>
      <c r="F77" s="2">
        <f t="shared" si="30"/>
        <v>0</v>
      </c>
      <c r="G77" s="2">
        <f t="shared" si="30"/>
        <v>0</v>
      </c>
      <c r="H77" s="2">
        <f t="shared" si="30"/>
        <v>0</v>
      </c>
      <c r="I77" s="2">
        <f t="shared" si="30"/>
        <v>0</v>
      </c>
      <c r="J77" s="36" t="s">
        <v>72</v>
      </c>
    </row>
    <row r="78" spans="1:10" x14ac:dyDescent="0.25">
      <c r="A78" s="33">
        <v>56</v>
      </c>
      <c r="B78" s="9" t="s">
        <v>59</v>
      </c>
      <c r="C78" s="1">
        <f t="shared" si="29"/>
        <v>0</v>
      </c>
      <c r="D78" s="1">
        <v>0</v>
      </c>
      <c r="E78" s="1">
        <v>0</v>
      </c>
      <c r="F78" s="1">
        <v>0</v>
      </c>
      <c r="G78" s="1">
        <v>0</v>
      </c>
      <c r="H78" s="1">
        <v>0</v>
      </c>
      <c r="I78" s="1">
        <v>0</v>
      </c>
      <c r="J78" s="15"/>
    </row>
    <row r="79" spans="1:10" x14ac:dyDescent="0.25">
      <c r="A79" s="33">
        <v>57</v>
      </c>
      <c r="B79" s="9" t="s">
        <v>10</v>
      </c>
      <c r="C79" s="1">
        <f t="shared" si="29"/>
        <v>0</v>
      </c>
      <c r="D79" s="1">
        <v>0</v>
      </c>
      <c r="E79" s="1">
        <v>0</v>
      </c>
      <c r="F79" s="1">
        <v>0</v>
      </c>
      <c r="G79" s="1">
        <v>0</v>
      </c>
      <c r="H79" s="1">
        <v>0</v>
      </c>
      <c r="I79" s="1">
        <v>0</v>
      </c>
      <c r="J79" s="36"/>
    </row>
    <row r="80" spans="1:10" x14ac:dyDescent="0.25">
      <c r="A80" s="33">
        <v>58</v>
      </c>
      <c r="B80" s="9" t="s">
        <v>11</v>
      </c>
      <c r="C80" s="1">
        <f>SUM(D80:I80)</f>
        <v>1114994.82</v>
      </c>
      <c r="D80" s="1">
        <v>1114994.82</v>
      </c>
      <c r="E80" s="1">
        <v>0</v>
      </c>
      <c r="F80" s="1">
        <v>0</v>
      </c>
      <c r="G80" s="1">
        <v>0</v>
      </c>
      <c r="H80" s="1">
        <v>0</v>
      </c>
      <c r="I80" s="1">
        <v>0</v>
      </c>
      <c r="J80" s="36"/>
    </row>
    <row r="81" spans="1:10" x14ac:dyDescent="0.25">
      <c r="A81" s="33">
        <v>59</v>
      </c>
      <c r="B81" s="9" t="s">
        <v>12</v>
      </c>
      <c r="C81" s="1">
        <f t="shared" ref="C81" si="31">SUM(D81:I81)</f>
        <v>0</v>
      </c>
      <c r="D81" s="1"/>
      <c r="E81" s="1"/>
      <c r="F81" s="1"/>
      <c r="G81" s="1"/>
      <c r="H81" s="1"/>
      <c r="I81" s="1"/>
      <c r="J81" s="36"/>
    </row>
    <row r="82" spans="1:10" ht="108" x14ac:dyDescent="0.25">
      <c r="A82" s="33">
        <v>60</v>
      </c>
      <c r="B82" s="11" t="s">
        <v>25</v>
      </c>
      <c r="C82" s="2">
        <f t="shared" si="17"/>
        <v>740000</v>
      </c>
      <c r="D82" s="2">
        <f>SUM(D83:D86)</f>
        <v>50000</v>
      </c>
      <c r="E82" s="2">
        <f>SUM(E83:E86)</f>
        <v>70000</v>
      </c>
      <c r="F82" s="2">
        <f t="shared" ref="F82:I82" si="32">SUM(F83:F86)</f>
        <v>50000</v>
      </c>
      <c r="G82" s="2">
        <f t="shared" si="32"/>
        <v>170000</v>
      </c>
      <c r="H82" s="2">
        <f t="shared" si="32"/>
        <v>200000</v>
      </c>
      <c r="I82" s="2">
        <f t="shared" si="32"/>
        <v>200000</v>
      </c>
      <c r="J82" s="36" t="s">
        <v>72</v>
      </c>
    </row>
    <row r="83" spans="1:10" x14ac:dyDescent="0.25">
      <c r="A83" s="33">
        <v>61</v>
      </c>
      <c r="B83" s="9" t="s">
        <v>59</v>
      </c>
      <c r="C83" s="1">
        <f t="shared" si="17"/>
        <v>0</v>
      </c>
      <c r="D83" s="1">
        <v>0</v>
      </c>
      <c r="E83" s="1">
        <v>0</v>
      </c>
      <c r="F83" s="1">
        <v>0</v>
      </c>
      <c r="G83" s="1">
        <v>0</v>
      </c>
      <c r="H83" s="1">
        <v>0</v>
      </c>
      <c r="I83" s="1">
        <v>0</v>
      </c>
      <c r="J83" s="36"/>
    </row>
    <row r="84" spans="1:10" x14ac:dyDescent="0.25">
      <c r="A84" s="33">
        <v>62</v>
      </c>
      <c r="B84" s="9" t="s">
        <v>10</v>
      </c>
      <c r="C84" s="1">
        <f t="shared" ref="C84:C124" si="33">SUM(D84:I84)</f>
        <v>0</v>
      </c>
      <c r="D84" s="1">
        <v>0</v>
      </c>
      <c r="E84" s="1">
        <v>0</v>
      </c>
      <c r="F84" s="1">
        <v>0</v>
      </c>
      <c r="G84" s="1">
        <v>0</v>
      </c>
      <c r="H84" s="1">
        <v>0</v>
      </c>
      <c r="I84" s="1">
        <v>0</v>
      </c>
      <c r="J84" s="36"/>
    </row>
    <row r="85" spans="1:10" x14ac:dyDescent="0.25">
      <c r="A85" s="33">
        <v>63</v>
      </c>
      <c r="B85" s="9" t="s">
        <v>11</v>
      </c>
      <c r="C85" s="1">
        <f t="shared" si="33"/>
        <v>740000</v>
      </c>
      <c r="D85" s="1">
        <f>100000-50000</f>
        <v>50000</v>
      </c>
      <c r="E85" s="1">
        <f>50000+20000</f>
        <v>70000</v>
      </c>
      <c r="F85" s="1">
        <v>50000</v>
      </c>
      <c r="G85" s="1">
        <v>170000</v>
      </c>
      <c r="H85" s="1">
        <v>200000</v>
      </c>
      <c r="I85" s="1">
        <v>200000</v>
      </c>
      <c r="J85" s="36"/>
    </row>
    <row r="86" spans="1:10" x14ac:dyDescent="0.25">
      <c r="A86" s="33">
        <v>64</v>
      </c>
      <c r="B86" s="9" t="s">
        <v>12</v>
      </c>
      <c r="C86" s="1">
        <f t="shared" si="33"/>
        <v>0</v>
      </c>
      <c r="D86" s="1">
        <v>0</v>
      </c>
      <c r="E86" s="1">
        <v>0</v>
      </c>
      <c r="F86" s="1">
        <v>0</v>
      </c>
      <c r="G86" s="1">
        <v>0</v>
      </c>
      <c r="H86" s="1">
        <v>0</v>
      </c>
      <c r="I86" s="1">
        <v>0</v>
      </c>
      <c r="J86" s="36"/>
    </row>
    <row r="87" spans="1:10" ht="67.5" x14ac:dyDescent="0.25">
      <c r="A87" s="33">
        <v>65</v>
      </c>
      <c r="B87" s="11" t="s">
        <v>26</v>
      </c>
      <c r="C87" s="2">
        <f t="shared" si="33"/>
        <v>1339575</v>
      </c>
      <c r="D87" s="2">
        <f>SUM(D88:D91)</f>
        <v>134575</v>
      </c>
      <c r="E87" s="2">
        <f t="shared" ref="E87:I87" si="34">SUM(E88:E91)</f>
        <v>89000</v>
      </c>
      <c r="F87" s="2">
        <f t="shared" si="34"/>
        <v>66000</v>
      </c>
      <c r="G87" s="2">
        <f t="shared" si="34"/>
        <v>300000</v>
      </c>
      <c r="H87" s="2">
        <f t="shared" si="34"/>
        <v>350000</v>
      </c>
      <c r="I87" s="2">
        <f t="shared" si="34"/>
        <v>400000</v>
      </c>
      <c r="J87" s="36" t="s">
        <v>72</v>
      </c>
    </row>
    <row r="88" spans="1:10" x14ac:dyDescent="0.25">
      <c r="A88" s="33">
        <v>66</v>
      </c>
      <c r="B88" s="9" t="s">
        <v>59</v>
      </c>
      <c r="C88" s="1">
        <f t="shared" si="33"/>
        <v>0</v>
      </c>
      <c r="D88" s="1">
        <v>0</v>
      </c>
      <c r="E88" s="1">
        <v>0</v>
      </c>
      <c r="F88" s="1">
        <v>0</v>
      </c>
      <c r="G88" s="1">
        <v>0</v>
      </c>
      <c r="H88" s="1">
        <v>0</v>
      </c>
      <c r="I88" s="1">
        <v>0</v>
      </c>
      <c r="J88" s="36"/>
    </row>
    <row r="89" spans="1:10" x14ac:dyDescent="0.25">
      <c r="A89" s="33">
        <v>67</v>
      </c>
      <c r="B89" s="9" t="s">
        <v>10</v>
      </c>
      <c r="C89" s="1">
        <f t="shared" si="33"/>
        <v>0</v>
      </c>
      <c r="D89" s="1">
        <v>0</v>
      </c>
      <c r="E89" s="1">
        <v>0</v>
      </c>
      <c r="F89" s="1">
        <v>0</v>
      </c>
      <c r="G89" s="1">
        <v>0</v>
      </c>
      <c r="H89" s="1">
        <v>0</v>
      </c>
      <c r="I89" s="1">
        <v>0</v>
      </c>
      <c r="J89" s="36"/>
    </row>
    <row r="90" spans="1:10" x14ac:dyDescent="0.25">
      <c r="A90" s="33">
        <v>68</v>
      </c>
      <c r="B90" s="9" t="s">
        <v>11</v>
      </c>
      <c r="C90" s="1">
        <f t="shared" si="33"/>
        <v>1339575</v>
      </c>
      <c r="D90" s="1">
        <f>100000+100000-65425</f>
        <v>134575</v>
      </c>
      <c r="E90" s="1">
        <f>66000+63000-40000</f>
        <v>89000</v>
      </c>
      <c r="F90" s="1">
        <v>66000</v>
      </c>
      <c r="G90" s="1">
        <v>300000</v>
      </c>
      <c r="H90" s="1">
        <v>350000</v>
      </c>
      <c r="I90" s="1">
        <v>400000</v>
      </c>
      <c r="J90" s="36"/>
    </row>
    <row r="91" spans="1:10" x14ac:dyDescent="0.25">
      <c r="A91" s="33">
        <v>69</v>
      </c>
      <c r="B91" s="9" t="s">
        <v>12</v>
      </c>
      <c r="C91" s="1">
        <f t="shared" si="33"/>
        <v>0</v>
      </c>
      <c r="D91" s="1">
        <v>0</v>
      </c>
      <c r="E91" s="1">
        <v>0</v>
      </c>
      <c r="F91" s="1">
        <v>0</v>
      </c>
      <c r="G91" s="1">
        <v>0</v>
      </c>
      <c r="H91" s="1">
        <v>0</v>
      </c>
      <c r="I91" s="1">
        <v>0</v>
      </c>
      <c r="J91" s="36"/>
    </row>
    <row r="92" spans="1:10" ht="94.5" x14ac:dyDescent="0.25">
      <c r="A92" s="33">
        <v>70</v>
      </c>
      <c r="B92" s="11" t="s">
        <v>79</v>
      </c>
      <c r="C92" s="2">
        <f t="shared" si="33"/>
        <v>26670268.23</v>
      </c>
      <c r="D92" s="2">
        <f t="shared" ref="D92:I92" si="35">SUM(D93:D96)</f>
        <v>5728646.1899999995</v>
      </c>
      <c r="E92" s="2">
        <f t="shared" si="35"/>
        <v>1941622.04</v>
      </c>
      <c r="F92" s="2">
        <f t="shared" si="35"/>
        <v>0</v>
      </c>
      <c r="G92" s="2">
        <f t="shared" si="35"/>
        <v>6000000</v>
      </c>
      <c r="H92" s="2">
        <f t="shared" si="35"/>
        <v>7500000</v>
      </c>
      <c r="I92" s="2">
        <f t="shared" si="35"/>
        <v>5500000</v>
      </c>
      <c r="J92" s="36" t="s">
        <v>72</v>
      </c>
    </row>
    <row r="93" spans="1:10" x14ac:dyDescent="0.25">
      <c r="A93" s="33">
        <v>71</v>
      </c>
      <c r="B93" s="9" t="s">
        <v>59</v>
      </c>
      <c r="C93" s="1">
        <f t="shared" si="33"/>
        <v>100000</v>
      </c>
      <c r="D93" s="1">
        <v>0</v>
      </c>
      <c r="E93" s="1">
        <v>100000</v>
      </c>
      <c r="F93" s="1">
        <v>0</v>
      </c>
      <c r="G93" s="1">
        <v>0</v>
      </c>
      <c r="H93" s="1">
        <v>0</v>
      </c>
      <c r="I93" s="1">
        <v>0</v>
      </c>
      <c r="J93" s="36"/>
    </row>
    <row r="94" spans="1:10" x14ac:dyDescent="0.25">
      <c r="A94" s="33">
        <v>72</v>
      </c>
      <c r="B94" s="9" t="s">
        <v>10</v>
      </c>
      <c r="C94" s="1">
        <f t="shared" si="33"/>
        <v>0</v>
      </c>
      <c r="D94" s="1">
        <f t="shared" ref="D94:I94" si="36">(D98+D102+D106+D110+D114+D118+D122)*1000</f>
        <v>0</v>
      </c>
      <c r="E94" s="1">
        <f t="shared" si="36"/>
        <v>0</v>
      </c>
      <c r="F94" s="1">
        <f t="shared" si="36"/>
        <v>0</v>
      </c>
      <c r="G94" s="1">
        <f t="shared" si="36"/>
        <v>0</v>
      </c>
      <c r="H94" s="1">
        <f t="shared" si="36"/>
        <v>0</v>
      </c>
      <c r="I94" s="1">
        <f t="shared" si="36"/>
        <v>0</v>
      </c>
      <c r="J94" s="36"/>
    </row>
    <row r="95" spans="1:10" x14ac:dyDescent="0.25">
      <c r="A95" s="33">
        <v>73</v>
      </c>
      <c r="B95" s="9" t="s">
        <v>11</v>
      </c>
      <c r="C95" s="1">
        <f t="shared" si="33"/>
        <v>26483724.23</v>
      </c>
      <c r="D95" s="1">
        <f>(D99+D103+D107+D111+D115+D119+D123+D128)*1000+D133</f>
        <v>5728646.1899999995</v>
      </c>
      <c r="E95" s="1">
        <f>(E99+E103+E107+E111+E115+E119+E123+E128)*1000+E133+400000+60812.96+294161.89</f>
        <v>1755078.04</v>
      </c>
      <c r="F95" s="1">
        <f>7000000-7000000</f>
        <v>0</v>
      </c>
      <c r="G95" s="1">
        <f>(G99+G103+G107+G111+G115+G119+G123+G128)*1000</f>
        <v>6000000</v>
      </c>
      <c r="H95" s="1">
        <f t="shared" ref="H95:I95" si="37">(H99+H103+H107+H111+H115+H119+H123+H128)*1000</f>
        <v>7500000</v>
      </c>
      <c r="I95" s="1">
        <f t="shared" si="37"/>
        <v>5500000</v>
      </c>
      <c r="J95" s="36"/>
    </row>
    <row r="96" spans="1:10" x14ac:dyDescent="0.25">
      <c r="A96" s="33">
        <v>74</v>
      </c>
      <c r="B96" s="9" t="s">
        <v>12</v>
      </c>
      <c r="C96" s="1">
        <f t="shared" si="33"/>
        <v>86544</v>
      </c>
      <c r="D96" s="1">
        <v>0</v>
      </c>
      <c r="E96" s="1">
        <f>66551+19993</f>
        <v>86544</v>
      </c>
      <c r="F96" s="1">
        <v>0</v>
      </c>
      <c r="G96" s="1">
        <v>0</v>
      </c>
      <c r="H96" s="1">
        <v>0</v>
      </c>
      <c r="I96" s="1">
        <v>0</v>
      </c>
      <c r="J96" s="36"/>
    </row>
    <row r="97" spans="1:10" ht="89.25" hidden="1" x14ac:dyDescent="0.25">
      <c r="A97" s="33">
        <v>75</v>
      </c>
      <c r="B97" s="9" t="s">
        <v>27</v>
      </c>
      <c r="C97" s="1">
        <f t="shared" si="33"/>
        <v>6500</v>
      </c>
      <c r="D97" s="1">
        <f t="shared" ref="D97:I97" si="38">SUM(D98:D100)</f>
        <v>0</v>
      </c>
      <c r="E97" s="1">
        <f t="shared" si="38"/>
        <v>0</v>
      </c>
      <c r="F97" s="1">
        <v>3000</v>
      </c>
      <c r="G97" s="1">
        <f>SUM(G98:G100)</f>
        <v>2000</v>
      </c>
      <c r="H97" s="1">
        <f t="shared" si="38"/>
        <v>1500</v>
      </c>
      <c r="I97" s="1">
        <f t="shared" si="38"/>
        <v>0</v>
      </c>
      <c r="J97" s="36"/>
    </row>
    <row r="98" spans="1:10" hidden="1" x14ac:dyDescent="0.25">
      <c r="A98" s="33">
        <v>76</v>
      </c>
      <c r="B98" s="9" t="s">
        <v>10</v>
      </c>
      <c r="C98" s="1">
        <f t="shared" si="33"/>
        <v>0</v>
      </c>
      <c r="D98" s="1"/>
      <c r="E98" s="1"/>
      <c r="F98" s="1"/>
      <c r="G98" s="1"/>
      <c r="H98" s="1"/>
      <c r="I98" s="1"/>
      <c r="J98" s="36"/>
    </row>
    <row r="99" spans="1:10" hidden="1" x14ac:dyDescent="0.25">
      <c r="A99" s="33">
        <v>77</v>
      </c>
      <c r="B99" s="9" t="s">
        <v>11</v>
      </c>
      <c r="C99" s="1">
        <f t="shared" si="33"/>
        <v>3500</v>
      </c>
      <c r="D99" s="1"/>
      <c r="E99" s="1"/>
      <c r="F99" s="1"/>
      <c r="G99" s="1">
        <v>2000</v>
      </c>
      <c r="H99" s="1">
        <v>1500</v>
      </c>
      <c r="I99" s="1"/>
      <c r="J99" s="36"/>
    </row>
    <row r="100" spans="1:10" hidden="1" x14ac:dyDescent="0.25">
      <c r="A100" s="33">
        <v>78</v>
      </c>
      <c r="B100" s="9" t="s">
        <v>12</v>
      </c>
      <c r="C100" s="1">
        <f t="shared" si="33"/>
        <v>0</v>
      </c>
      <c r="D100" s="1"/>
      <c r="E100" s="1"/>
      <c r="F100" s="1"/>
      <c r="G100" s="1"/>
      <c r="H100" s="1"/>
      <c r="I100" s="1"/>
      <c r="J100" s="36"/>
    </row>
    <row r="101" spans="1:10" ht="102" hidden="1" x14ac:dyDescent="0.25">
      <c r="A101" s="33">
        <v>79</v>
      </c>
      <c r="B101" s="9" t="s">
        <v>28</v>
      </c>
      <c r="C101" s="1">
        <f t="shared" si="33"/>
        <v>0</v>
      </c>
      <c r="D101" s="1">
        <f t="shared" ref="D101:I101" si="39">SUM(D102:D104)</f>
        <v>0</v>
      </c>
      <c r="E101" s="1">
        <f t="shared" si="39"/>
        <v>0</v>
      </c>
      <c r="F101" s="1">
        <f t="shared" si="39"/>
        <v>0</v>
      </c>
      <c r="G101" s="1">
        <f t="shared" si="39"/>
        <v>0</v>
      </c>
      <c r="H101" s="1">
        <f t="shared" si="39"/>
        <v>0</v>
      </c>
      <c r="I101" s="1">
        <f t="shared" si="39"/>
        <v>0</v>
      </c>
      <c r="J101" s="36"/>
    </row>
    <row r="102" spans="1:10" hidden="1" x14ac:dyDescent="0.25">
      <c r="A102" s="33">
        <v>80</v>
      </c>
      <c r="B102" s="9" t="s">
        <v>10</v>
      </c>
      <c r="C102" s="1">
        <f t="shared" si="33"/>
        <v>0</v>
      </c>
      <c r="D102" s="1"/>
      <c r="E102" s="1"/>
      <c r="F102" s="1"/>
      <c r="G102" s="1"/>
      <c r="H102" s="1"/>
      <c r="I102" s="1"/>
      <c r="J102" s="36"/>
    </row>
    <row r="103" spans="1:10" hidden="1" x14ac:dyDescent="0.25">
      <c r="A103" s="33">
        <v>81</v>
      </c>
      <c r="B103" s="9" t="s">
        <v>11</v>
      </c>
      <c r="C103" s="1">
        <f t="shared" si="33"/>
        <v>0</v>
      </c>
      <c r="D103" s="1"/>
      <c r="E103" s="1"/>
      <c r="F103" s="1"/>
      <c r="G103" s="1"/>
      <c r="H103" s="1"/>
      <c r="I103" s="1"/>
      <c r="J103" s="36"/>
    </row>
    <row r="104" spans="1:10" hidden="1" x14ac:dyDescent="0.25">
      <c r="A104" s="33">
        <v>82</v>
      </c>
      <c r="B104" s="9" t="s">
        <v>12</v>
      </c>
      <c r="C104" s="1">
        <f t="shared" si="33"/>
        <v>0</v>
      </c>
      <c r="D104" s="1"/>
      <c r="E104" s="1"/>
      <c r="F104" s="1"/>
      <c r="G104" s="1"/>
      <c r="H104" s="1"/>
      <c r="I104" s="1"/>
      <c r="J104" s="36"/>
    </row>
    <row r="105" spans="1:10" ht="102" hidden="1" x14ac:dyDescent="0.25">
      <c r="A105" s="33"/>
      <c r="B105" s="9" t="s">
        <v>29</v>
      </c>
      <c r="C105" s="1">
        <f t="shared" si="33"/>
        <v>1500</v>
      </c>
      <c r="D105" s="1">
        <f t="shared" ref="D105:I105" si="40">SUM(D106:D108)</f>
        <v>1000</v>
      </c>
      <c r="E105" s="1">
        <f t="shared" si="40"/>
        <v>500</v>
      </c>
      <c r="F105" s="1">
        <f t="shared" si="40"/>
        <v>0</v>
      </c>
      <c r="G105" s="1">
        <f t="shared" si="40"/>
        <v>0</v>
      </c>
      <c r="H105" s="1">
        <f t="shared" si="40"/>
        <v>0</v>
      </c>
      <c r="I105" s="1">
        <f t="shared" si="40"/>
        <v>0</v>
      </c>
      <c r="J105" s="36"/>
    </row>
    <row r="106" spans="1:10" hidden="1" x14ac:dyDescent="0.25">
      <c r="A106" s="33"/>
      <c r="B106" s="9" t="s">
        <v>10</v>
      </c>
      <c r="C106" s="1">
        <f t="shared" si="33"/>
        <v>0</v>
      </c>
      <c r="D106" s="1"/>
      <c r="E106" s="1"/>
      <c r="F106" s="1"/>
      <c r="G106" s="1"/>
      <c r="H106" s="1"/>
      <c r="I106" s="1"/>
      <c r="J106" s="36"/>
    </row>
    <row r="107" spans="1:10" hidden="1" x14ac:dyDescent="0.25">
      <c r="A107" s="33"/>
      <c r="B107" s="9" t="s">
        <v>11</v>
      </c>
      <c r="C107" s="1">
        <f t="shared" si="33"/>
        <v>1500</v>
      </c>
      <c r="D107" s="1">
        <f>1500-500</f>
        <v>1000</v>
      </c>
      <c r="E107" s="1">
        <v>500</v>
      </c>
      <c r="F107" s="1"/>
      <c r="G107" s="1"/>
      <c r="H107" s="1"/>
      <c r="I107" s="1"/>
      <c r="J107" s="36"/>
    </row>
    <row r="108" spans="1:10" hidden="1" x14ac:dyDescent="0.25">
      <c r="A108" s="33"/>
      <c r="B108" s="9" t="s">
        <v>12</v>
      </c>
      <c r="C108" s="1">
        <f t="shared" si="33"/>
        <v>0</v>
      </c>
      <c r="D108" s="1"/>
      <c r="E108" s="1"/>
      <c r="F108" s="1"/>
      <c r="G108" s="1"/>
      <c r="H108" s="1"/>
      <c r="I108" s="1"/>
      <c r="J108" s="36"/>
    </row>
    <row r="109" spans="1:10" ht="102" hidden="1" x14ac:dyDescent="0.25">
      <c r="A109" s="33"/>
      <c r="B109" s="9" t="s">
        <v>30</v>
      </c>
      <c r="C109" s="1">
        <f t="shared" si="33"/>
        <v>2200</v>
      </c>
      <c r="D109" s="1">
        <f t="shared" ref="D109:I109" si="41">SUM(D110:D112)</f>
        <v>200</v>
      </c>
      <c r="E109" s="1">
        <f t="shared" si="41"/>
        <v>0</v>
      </c>
      <c r="F109" s="1">
        <f t="shared" si="41"/>
        <v>0</v>
      </c>
      <c r="G109" s="1">
        <f t="shared" si="41"/>
        <v>2000</v>
      </c>
      <c r="H109" s="1">
        <f t="shared" si="41"/>
        <v>0</v>
      </c>
      <c r="I109" s="1">
        <f t="shared" si="41"/>
        <v>0</v>
      </c>
      <c r="J109" s="36"/>
    </row>
    <row r="110" spans="1:10" hidden="1" x14ac:dyDescent="0.25">
      <c r="A110" s="33"/>
      <c r="B110" s="9" t="s">
        <v>10</v>
      </c>
      <c r="C110" s="1">
        <f t="shared" si="33"/>
        <v>0</v>
      </c>
      <c r="D110" s="1"/>
      <c r="E110" s="1"/>
      <c r="F110" s="1"/>
      <c r="G110" s="1"/>
      <c r="H110" s="1"/>
      <c r="I110" s="1"/>
      <c r="J110" s="36"/>
    </row>
    <row r="111" spans="1:10" hidden="1" x14ac:dyDescent="0.25">
      <c r="A111" s="33"/>
      <c r="B111" s="9" t="s">
        <v>11</v>
      </c>
      <c r="C111" s="1">
        <f t="shared" si="33"/>
        <v>2200</v>
      </c>
      <c r="D111" s="1">
        <f>500-300</f>
        <v>200</v>
      </c>
      <c r="E111" s="1"/>
      <c r="F111" s="1"/>
      <c r="G111" s="1">
        <v>2000</v>
      </c>
      <c r="H111" s="1"/>
      <c r="I111" s="1"/>
      <c r="J111" s="36"/>
    </row>
    <row r="112" spans="1:10" hidden="1" x14ac:dyDescent="0.25">
      <c r="A112" s="33"/>
      <c r="B112" s="9" t="s">
        <v>12</v>
      </c>
      <c r="C112" s="1">
        <f t="shared" si="33"/>
        <v>0</v>
      </c>
      <c r="D112" s="1"/>
      <c r="E112" s="1"/>
      <c r="F112" s="1"/>
      <c r="G112" s="1"/>
      <c r="H112" s="1"/>
      <c r="I112" s="1"/>
      <c r="J112" s="36"/>
    </row>
    <row r="113" spans="1:10" ht="102" hidden="1" x14ac:dyDescent="0.25">
      <c r="A113" s="33"/>
      <c r="B113" s="9" t="s">
        <v>31</v>
      </c>
      <c r="C113" s="1">
        <f t="shared" si="33"/>
        <v>3500</v>
      </c>
      <c r="D113" s="1">
        <f t="shared" ref="D113:I113" si="42">SUM(D114:D116)</f>
        <v>0</v>
      </c>
      <c r="E113" s="1">
        <f t="shared" si="42"/>
        <v>0</v>
      </c>
      <c r="F113" s="1">
        <f t="shared" si="42"/>
        <v>0</v>
      </c>
      <c r="G113" s="1">
        <f t="shared" si="42"/>
        <v>0</v>
      </c>
      <c r="H113" s="1">
        <f t="shared" si="42"/>
        <v>2000</v>
      </c>
      <c r="I113" s="1">
        <f t="shared" si="42"/>
        <v>1500</v>
      </c>
      <c r="J113" s="36"/>
    </row>
    <row r="114" spans="1:10" hidden="1" x14ac:dyDescent="0.25">
      <c r="A114" s="33"/>
      <c r="B114" s="9" t="s">
        <v>10</v>
      </c>
      <c r="C114" s="1">
        <f t="shared" si="33"/>
        <v>0</v>
      </c>
      <c r="D114" s="1"/>
      <c r="E114" s="1"/>
      <c r="F114" s="1"/>
      <c r="G114" s="1"/>
      <c r="H114" s="1"/>
      <c r="I114" s="1"/>
      <c r="J114" s="36"/>
    </row>
    <row r="115" spans="1:10" hidden="1" x14ac:dyDescent="0.25">
      <c r="A115" s="33"/>
      <c r="B115" s="9" t="s">
        <v>11</v>
      </c>
      <c r="C115" s="1">
        <f t="shared" si="33"/>
        <v>3500</v>
      </c>
      <c r="D115" s="1"/>
      <c r="E115" s="1"/>
      <c r="F115" s="1"/>
      <c r="G115" s="1"/>
      <c r="H115" s="1">
        <v>2000</v>
      </c>
      <c r="I115" s="1">
        <v>1500</v>
      </c>
      <c r="J115" s="36"/>
    </row>
    <row r="116" spans="1:10" hidden="1" x14ac:dyDescent="0.25">
      <c r="A116" s="33"/>
      <c r="B116" s="9" t="s">
        <v>12</v>
      </c>
      <c r="C116" s="1">
        <f t="shared" si="33"/>
        <v>0</v>
      </c>
      <c r="D116" s="1"/>
      <c r="E116" s="1"/>
      <c r="F116" s="1"/>
      <c r="G116" s="1"/>
      <c r="H116" s="1"/>
      <c r="I116" s="1"/>
      <c r="J116" s="36"/>
    </row>
    <row r="117" spans="1:10" ht="76.5" hidden="1" x14ac:dyDescent="0.25">
      <c r="A117" s="33"/>
      <c r="B117" s="9" t="s">
        <v>32</v>
      </c>
      <c r="C117" s="1">
        <f t="shared" si="33"/>
        <v>4000</v>
      </c>
      <c r="D117" s="1">
        <f t="shared" ref="D117:I117" si="43">SUM(D118:D120)</f>
        <v>0</v>
      </c>
      <c r="E117" s="1">
        <f t="shared" si="43"/>
        <v>0</v>
      </c>
      <c r="F117" s="1">
        <v>4000</v>
      </c>
      <c r="G117" s="1">
        <f t="shared" si="43"/>
        <v>0</v>
      </c>
      <c r="H117" s="1">
        <f t="shared" si="43"/>
        <v>0</v>
      </c>
      <c r="I117" s="1">
        <f t="shared" si="43"/>
        <v>0</v>
      </c>
      <c r="J117" s="36"/>
    </row>
    <row r="118" spans="1:10" hidden="1" x14ac:dyDescent="0.25">
      <c r="A118" s="33"/>
      <c r="B118" s="9" t="s">
        <v>10</v>
      </c>
      <c r="C118" s="1">
        <f t="shared" si="33"/>
        <v>0</v>
      </c>
      <c r="D118" s="1"/>
      <c r="E118" s="1"/>
      <c r="F118" s="1"/>
      <c r="G118" s="1"/>
      <c r="H118" s="1"/>
      <c r="I118" s="1"/>
      <c r="J118" s="36"/>
    </row>
    <row r="119" spans="1:10" hidden="1" x14ac:dyDescent="0.25">
      <c r="A119" s="33"/>
      <c r="B119" s="9" t="s">
        <v>11</v>
      </c>
      <c r="C119" s="1">
        <f t="shared" si="33"/>
        <v>0</v>
      </c>
      <c r="D119" s="1"/>
      <c r="E119" s="1"/>
      <c r="F119" s="1"/>
      <c r="G119" s="1"/>
      <c r="H119" s="1"/>
      <c r="I119" s="1"/>
      <c r="J119" s="36"/>
    </row>
    <row r="120" spans="1:10" hidden="1" x14ac:dyDescent="0.25">
      <c r="A120" s="33"/>
      <c r="B120" s="9" t="s">
        <v>12</v>
      </c>
      <c r="C120" s="1">
        <f t="shared" si="33"/>
        <v>0</v>
      </c>
      <c r="D120" s="1"/>
      <c r="E120" s="1"/>
      <c r="F120" s="1"/>
      <c r="G120" s="1"/>
      <c r="H120" s="1"/>
      <c r="I120" s="1"/>
      <c r="J120" s="36"/>
    </row>
    <row r="121" spans="1:10" ht="76.5" hidden="1" x14ac:dyDescent="0.25">
      <c r="A121" s="33"/>
      <c r="B121" s="9" t="s">
        <v>33</v>
      </c>
      <c r="C121" s="1">
        <f t="shared" si="33"/>
        <v>6000</v>
      </c>
      <c r="D121" s="1">
        <f t="shared" ref="D121:I121" si="44">SUM(D122:D124)</f>
        <v>0</v>
      </c>
      <c r="E121" s="1">
        <f t="shared" si="44"/>
        <v>0</v>
      </c>
      <c r="F121" s="1">
        <f t="shared" si="44"/>
        <v>0</v>
      </c>
      <c r="G121" s="1">
        <f t="shared" si="44"/>
        <v>0</v>
      </c>
      <c r="H121" s="1">
        <f t="shared" si="44"/>
        <v>2000</v>
      </c>
      <c r="I121" s="1">
        <f t="shared" si="44"/>
        <v>4000</v>
      </c>
      <c r="J121" s="36"/>
    </row>
    <row r="122" spans="1:10" hidden="1" x14ac:dyDescent="0.25">
      <c r="A122" s="33"/>
      <c r="B122" s="9" t="s">
        <v>10</v>
      </c>
      <c r="C122" s="1">
        <f t="shared" si="33"/>
        <v>0</v>
      </c>
      <c r="D122" s="1"/>
      <c r="E122" s="1"/>
      <c r="F122" s="1"/>
      <c r="G122" s="1"/>
      <c r="H122" s="1"/>
      <c r="I122" s="1"/>
      <c r="J122" s="36"/>
    </row>
    <row r="123" spans="1:10" hidden="1" x14ac:dyDescent="0.25">
      <c r="A123" s="33"/>
      <c r="B123" s="9" t="s">
        <v>11</v>
      </c>
      <c r="C123" s="1">
        <f t="shared" si="33"/>
        <v>6000</v>
      </c>
      <c r="D123" s="1"/>
      <c r="E123" s="1"/>
      <c r="F123" s="1"/>
      <c r="G123" s="1"/>
      <c r="H123" s="1">
        <v>2000</v>
      </c>
      <c r="I123" s="1">
        <v>4000</v>
      </c>
      <c r="J123" s="36"/>
    </row>
    <row r="124" spans="1:10" hidden="1" x14ac:dyDescent="0.25">
      <c r="A124" s="33"/>
      <c r="B124" s="9" t="s">
        <v>12</v>
      </c>
      <c r="C124" s="1">
        <f t="shared" si="33"/>
        <v>0</v>
      </c>
      <c r="D124" s="1"/>
      <c r="E124" s="1"/>
      <c r="F124" s="1"/>
      <c r="G124" s="1"/>
      <c r="H124" s="1"/>
      <c r="I124" s="1"/>
      <c r="J124" s="36"/>
    </row>
    <row r="125" spans="1:10" ht="89.25" hidden="1" x14ac:dyDescent="0.25">
      <c r="A125" s="33"/>
      <c r="B125" s="9" t="s">
        <v>84</v>
      </c>
      <c r="C125" s="14">
        <f t="shared" ref="C125:C128" si="45">SUM(D125:I125)</f>
        <v>5500</v>
      </c>
      <c r="D125" s="14">
        <f t="shared" ref="D125:I125" si="46">SUM(D127:D129)</f>
        <v>1000</v>
      </c>
      <c r="E125" s="14">
        <f t="shared" si="46"/>
        <v>500</v>
      </c>
      <c r="F125" s="14">
        <f t="shared" si="46"/>
        <v>0</v>
      </c>
      <c r="G125" s="14">
        <f t="shared" si="46"/>
        <v>2000</v>
      </c>
      <c r="H125" s="14">
        <f t="shared" si="46"/>
        <v>2000</v>
      </c>
      <c r="I125" s="14">
        <f t="shared" si="46"/>
        <v>0</v>
      </c>
      <c r="J125" s="36" t="s">
        <v>74</v>
      </c>
    </row>
    <row r="126" spans="1:10" hidden="1" x14ac:dyDescent="0.25">
      <c r="A126" s="33"/>
      <c r="B126" s="9" t="s">
        <v>59</v>
      </c>
      <c r="C126" s="1">
        <f t="shared" si="45"/>
        <v>0</v>
      </c>
      <c r="D126" s="1">
        <v>0</v>
      </c>
      <c r="E126" s="1">
        <v>0</v>
      </c>
      <c r="F126" s="1">
        <v>0</v>
      </c>
      <c r="G126" s="1">
        <v>0</v>
      </c>
      <c r="H126" s="1">
        <v>0</v>
      </c>
      <c r="I126" s="1">
        <v>0</v>
      </c>
      <c r="J126" s="36"/>
    </row>
    <row r="127" spans="1:10" hidden="1" x14ac:dyDescent="0.25">
      <c r="A127" s="33"/>
      <c r="B127" s="9" t="s">
        <v>10</v>
      </c>
      <c r="C127" s="1">
        <f t="shared" si="45"/>
        <v>0</v>
      </c>
      <c r="D127" s="1"/>
      <c r="E127" s="1"/>
      <c r="F127" s="1"/>
      <c r="G127" s="1"/>
      <c r="H127" s="1"/>
      <c r="I127" s="1"/>
      <c r="J127" s="36"/>
    </row>
    <row r="128" spans="1:10" hidden="1" x14ac:dyDescent="0.25">
      <c r="A128" s="33"/>
      <c r="B128" s="9" t="s">
        <v>11</v>
      </c>
      <c r="C128" s="1">
        <f t="shared" si="45"/>
        <v>5500</v>
      </c>
      <c r="D128" s="1">
        <f>1500-500</f>
        <v>1000</v>
      </c>
      <c r="E128" s="1">
        <v>500</v>
      </c>
      <c r="F128" s="1"/>
      <c r="G128" s="1">
        <v>2000</v>
      </c>
      <c r="H128" s="1">
        <v>2000</v>
      </c>
      <c r="I128" s="1"/>
      <c r="J128" s="36"/>
    </row>
    <row r="129" spans="1:10" hidden="1" x14ac:dyDescent="0.25">
      <c r="A129" s="33"/>
      <c r="B129" s="9" t="s">
        <v>12</v>
      </c>
      <c r="C129" s="1"/>
      <c r="D129" s="1"/>
      <c r="E129" s="1"/>
      <c r="F129" s="1"/>
      <c r="G129" s="1"/>
      <c r="H129" s="1"/>
      <c r="I129" s="1"/>
      <c r="J129" s="36"/>
    </row>
    <row r="130" spans="1:10" ht="81" x14ac:dyDescent="0.25">
      <c r="A130" s="33">
        <v>75</v>
      </c>
      <c r="B130" s="11" t="s">
        <v>117</v>
      </c>
      <c r="C130" s="2">
        <f t="shared" ref="C130:C132" si="47">SUM(D130:I130)</f>
        <v>3528749.38</v>
      </c>
      <c r="D130" s="2">
        <f>SUM(D131:D134)</f>
        <v>3528646.19</v>
      </c>
      <c r="E130" s="2">
        <f t="shared" ref="E130:I130" si="48">SUM(E131:E134)</f>
        <v>103.19</v>
      </c>
      <c r="F130" s="2">
        <f t="shared" si="48"/>
        <v>0</v>
      </c>
      <c r="G130" s="2">
        <f t="shared" si="48"/>
        <v>0</v>
      </c>
      <c r="H130" s="2">
        <f t="shared" si="48"/>
        <v>0</v>
      </c>
      <c r="I130" s="2">
        <f t="shared" si="48"/>
        <v>0</v>
      </c>
      <c r="J130" s="36" t="s">
        <v>72</v>
      </c>
    </row>
    <row r="131" spans="1:10" x14ac:dyDescent="0.25">
      <c r="A131" s="33">
        <v>76</v>
      </c>
      <c r="B131" s="9" t="s">
        <v>59</v>
      </c>
      <c r="C131" s="1">
        <f t="shared" si="47"/>
        <v>0</v>
      </c>
      <c r="D131" s="1">
        <v>0</v>
      </c>
      <c r="E131" s="1">
        <v>0</v>
      </c>
      <c r="F131" s="1">
        <v>0</v>
      </c>
      <c r="G131" s="1">
        <v>0</v>
      </c>
      <c r="H131" s="1">
        <v>0</v>
      </c>
      <c r="I131" s="1">
        <v>0</v>
      </c>
      <c r="J131" s="15"/>
    </row>
    <row r="132" spans="1:10" x14ac:dyDescent="0.25">
      <c r="A132" s="33">
        <v>77</v>
      </c>
      <c r="B132" s="9" t="s">
        <v>10</v>
      </c>
      <c r="C132" s="1">
        <f t="shared" si="47"/>
        <v>0</v>
      </c>
      <c r="D132" s="1">
        <v>0</v>
      </c>
      <c r="E132" s="1">
        <v>0</v>
      </c>
      <c r="F132" s="1">
        <v>0</v>
      </c>
      <c r="G132" s="1">
        <v>0</v>
      </c>
      <c r="H132" s="1">
        <v>0</v>
      </c>
      <c r="I132" s="1">
        <v>0</v>
      </c>
      <c r="J132" s="36"/>
    </row>
    <row r="133" spans="1:10" x14ac:dyDescent="0.25">
      <c r="A133" s="33">
        <v>78</v>
      </c>
      <c r="B133" s="9" t="s">
        <v>11</v>
      </c>
      <c r="C133" s="1">
        <f>SUM(D133:I133)</f>
        <v>3528749.38</v>
      </c>
      <c r="D133" s="1">
        <v>3528646.19</v>
      </c>
      <c r="E133" s="1">
        <v>103.19</v>
      </c>
      <c r="F133" s="1">
        <v>0</v>
      </c>
      <c r="G133" s="1">
        <v>0</v>
      </c>
      <c r="H133" s="1">
        <v>0</v>
      </c>
      <c r="I133" s="1">
        <v>0</v>
      </c>
      <c r="J133" s="36"/>
    </row>
    <row r="134" spans="1:10" x14ac:dyDescent="0.25">
      <c r="A134" s="33">
        <v>79</v>
      </c>
      <c r="B134" s="9" t="s">
        <v>12</v>
      </c>
      <c r="C134" s="1">
        <f t="shared" ref="C134:C172" si="49">SUM(D134:I134)</f>
        <v>0</v>
      </c>
      <c r="D134" s="1"/>
      <c r="E134" s="1"/>
      <c r="F134" s="1"/>
      <c r="G134" s="1"/>
      <c r="H134" s="1"/>
      <c r="I134" s="1"/>
      <c r="J134" s="36"/>
    </row>
    <row r="135" spans="1:10" ht="135" x14ac:dyDescent="0.25">
      <c r="A135" s="33">
        <v>80</v>
      </c>
      <c r="B135" s="11" t="s">
        <v>85</v>
      </c>
      <c r="C135" s="2">
        <f t="shared" si="49"/>
        <v>3381700</v>
      </c>
      <c r="D135" s="2">
        <f>SUM(D136:D139)</f>
        <v>181700</v>
      </c>
      <c r="E135" s="2">
        <f t="shared" ref="E135:I135" si="50">SUM(E136:E139)</f>
        <v>50000</v>
      </c>
      <c r="F135" s="2">
        <f t="shared" si="50"/>
        <v>150000</v>
      </c>
      <c r="G135" s="2">
        <f t="shared" si="50"/>
        <v>1000000</v>
      </c>
      <c r="H135" s="2">
        <f t="shared" si="50"/>
        <v>1000000</v>
      </c>
      <c r="I135" s="2">
        <f t="shared" si="50"/>
        <v>1000000</v>
      </c>
      <c r="J135" s="36" t="s">
        <v>123</v>
      </c>
    </row>
    <row r="136" spans="1:10" x14ac:dyDescent="0.25">
      <c r="A136" s="33">
        <v>81</v>
      </c>
      <c r="B136" s="9" t="s">
        <v>59</v>
      </c>
      <c r="C136" s="1">
        <f t="shared" si="49"/>
        <v>14600</v>
      </c>
      <c r="D136" s="1">
        <v>14600</v>
      </c>
      <c r="E136" s="1">
        <v>0</v>
      </c>
      <c r="F136" s="1">
        <v>0</v>
      </c>
      <c r="G136" s="1">
        <v>0</v>
      </c>
      <c r="H136" s="1">
        <v>0</v>
      </c>
      <c r="I136" s="1">
        <v>0</v>
      </c>
      <c r="J136" s="36"/>
    </row>
    <row r="137" spans="1:10" x14ac:dyDescent="0.25">
      <c r="A137" s="33">
        <v>82</v>
      </c>
      <c r="B137" s="9" t="s">
        <v>10</v>
      </c>
      <c r="C137" s="1">
        <f t="shared" si="49"/>
        <v>0</v>
      </c>
      <c r="D137" s="1">
        <v>0</v>
      </c>
      <c r="E137" s="1">
        <v>0</v>
      </c>
      <c r="F137" s="1">
        <v>0</v>
      </c>
      <c r="G137" s="1">
        <v>0</v>
      </c>
      <c r="H137" s="1">
        <v>0</v>
      </c>
      <c r="I137" s="1">
        <v>0</v>
      </c>
      <c r="J137" s="36"/>
    </row>
    <row r="138" spans="1:10" x14ac:dyDescent="0.25">
      <c r="A138" s="33">
        <v>83</v>
      </c>
      <c r="B138" s="9" t="s">
        <v>11</v>
      </c>
      <c r="C138" s="1">
        <f t="shared" si="49"/>
        <v>3367100</v>
      </c>
      <c r="D138" s="1">
        <f>400000-100000-D143</f>
        <v>167100</v>
      </c>
      <c r="E138" s="1">
        <f>150000-100000</f>
        <v>50000</v>
      </c>
      <c r="F138" s="1">
        <v>150000</v>
      </c>
      <c r="G138" s="1">
        <v>1000000</v>
      </c>
      <c r="H138" s="1">
        <v>1000000</v>
      </c>
      <c r="I138" s="1">
        <v>1000000</v>
      </c>
      <c r="J138" s="36"/>
    </row>
    <row r="139" spans="1:10" x14ac:dyDescent="0.25">
      <c r="A139" s="33">
        <v>84</v>
      </c>
      <c r="B139" s="9" t="s">
        <v>12</v>
      </c>
      <c r="C139" s="1">
        <f t="shared" si="49"/>
        <v>0</v>
      </c>
      <c r="D139" s="1">
        <v>0</v>
      </c>
      <c r="E139" s="1">
        <v>0</v>
      </c>
      <c r="F139" s="1">
        <v>0</v>
      </c>
      <c r="G139" s="1">
        <v>0</v>
      </c>
      <c r="H139" s="1">
        <v>0</v>
      </c>
      <c r="I139" s="1">
        <v>0</v>
      </c>
      <c r="J139" s="36"/>
    </row>
    <row r="140" spans="1:10" ht="54" x14ac:dyDescent="0.25">
      <c r="A140" s="33">
        <v>85</v>
      </c>
      <c r="B140" s="11" t="s">
        <v>110</v>
      </c>
      <c r="C140" s="2">
        <f>SUM(D140:I140)</f>
        <v>443000</v>
      </c>
      <c r="D140" s="2">
        <f>SUM(D141:D144)</f>
        <v>443000</v>
      </c>
      <c r="E140" s="2">
        <f t="shared" ref="E140:I140" si="51">SUM(E141:E144)</f>
        <v>0</v>
      </c>
      <c r="F140" s="2">
        <f t="shared" si="51"/>
        <v>0</v>
      </c>
      <c r="G140" s="2">
        <f t="shared" si="51"/>
        <v>0</v>
      </c>
      <c r="H140" s="2">
        <f t="shared" si="51"/>
        <v>0</v>
      </c>
      <c r="I140" s="2">
        <f t="shared" si="51"/>
        <v>0</v>
      </c>
      <c r="J140" s="36" t="s">
        <v>124</v>
      </c>
    </row>
    <row r="141" spans="1:10" x14ac:dyDescent="0.25">
      <c r="A141" s="33">
        <v>86</v>
      </c>
      <c r="B141" s="9" t="s">
        <v>59</v>
      </c>
      <c r="C141" s="1">
        <f t="shared" ref="C141:C144" si="52">SUM(D141:I141)</f>
        <v>0</v>
      </c>
      <c r="D141" s="1">
        <v>0</v>
      </c>
      <c r="E141" s="1">
        <v>0</v>
      </c>
      <c r="F141" s="1">
        <v>0</v>
      </c>
      <c r="G141" s="1">
        <v>0</v>
      </c>
      <c r="H141" s="1">
        <v>0</v>
      </c>
      <c r="I141" s="1">
        <v>0</v>
      </c>
      <c r="J141" s="36"/>
    </row>
    <row r="142" spans="1:10" x14ac:dyDescent="0.25">
      <c r="A142" s="33">
        <v>87</v>
      </c>
      <c r="B142" s="9" t="s">
        <v>10</v>
      </c>
      <c r="C142" s="1">
        <f t="shared" si="52"/>
        <v>310100</v>
      </c>
      <c r="D142" s="1">
        <v>310100</v>
      </c>
      <c r="E142" s="1">
        <v>0</v>
      </c>
      <c r="F142" s="1">
        <v>0</v>
      </c>
      <c r="G142" s="1">
        <v>0</v>
      </c>
      <c r="H142" s="1">
        <v>0</v>
      </c>
      <c r="I142" s="1">
        <v>0</v>
      </c>
      <c r="J142" s="36"/>
    </row>
    <row r="143" spans="1:10" x14ac:dyDescent="0.25">
      <c r="A143" s="33">
        <v>88</v>
      </c>
      <c r="B143" s="9" t="s">
        <v>11</v>
      </c>
      <c r="C143" s="1">
        <f>SUM(D143:I143)</f>
        <v>132900</v>
      </c>
      <c r="D143" s="1">
        <v>132900</v>
      </c>
      <c r="E143" s="1">
        <v>0</v>
      </c>
      <c r="F143" s="1">
        <v>0</v>
      </c>
      <c r="G143" s="1">
        <v>0</v>
      </c>
      <c r="H143" s="1">
        <v>0</v>
      </c>
      <c r="I143" s="1">
        <v>0</v>
      </c>
      <c r="J143" s="36"/>
    </row>
    <row r="144" spans="1:10" x14ac:dyDescent="0.25">
      <c r="A144" s="33">
        <v>89</v>
      </c>
      <c r="B144" s="9" t="s">
        <v>12</v>
      </c>
      <c r="C144" s="1">
        <f t="shared" si="52"/>
        <v>0</v>
      </c>
      <c r="D144" s="1"/>
      <c r="E144" s="1"/>
      <c r="F144" s="1"/>
      <c r="G144" s="1"/>
      <c r="H144" s="1"/>
      <c r="I144" s="1"/>
      <c r="J144" s="36"/>
    </row>
    <row r="145" spans="1:10" ht="67.5" x14ac:dyDescent="0.25">
      <c r="A145" s="33">
        <v>90</v>
      </c>
      <c r="B145" s="11" t="s">
        <v>106</v>
      </c>
      <c r="C145" s="2">
        <f t="shared" si="49"/>
        <v>32296770.759999998</v>
      </c>
      <c r="D145" s="2">
        <f>SUM(D146:D149)</f>
        <v>4969370.8099999996</v>
      </c>
      <c r="E145" s="2">
        <f t="shared" ref="E145:I145" si="53">SUM(E146:E149)</f>
        <v>4924004.95</v>
      </c>
      <c r="F145" s="2">
        <f t="shared" si="53"/>
        <v>4396378</v>
      </c>
      <c r="G145" s="2">
        <f t="shared" si="53"/>
        <v>6002339</v>
      </c>
      <c r="H145" s="2">
        <f t="shared" si="53"/>
        <v>6002339</v>
      </c>
      <c r="I145" s="2">
        <f t="shared" si="53"/>
        <v>6002339</v>
      </c>
      <c r="J145" s="36" t="s">
        <v>74</v>
      </c>
    </row>
    <row r="146" spans="1:10" x14ac:dyDescent="0.25">
      <c r="A146" s="33">
        <v>91</v>
      </c>
      <c r="B146" s="9" t="s">
        <v>59</v>
      </c>
      <c r="C146" s="1">
        <f t="shared" si="49"/>
        <v>0</v>
      </c>
      <c r="D146" s="1">
        <v>0</v>
      </c>
      <c r="E146" s="1">
        <v>0</v>
      </c>
      <c r="F146" s="1">
        <v>0</v>
      </c>
      <c r="G146" s="1">
        <v>0</v>
      </c>
      <c r="H146" s="1">
        <v>0</v>
      </c>
      <c r="I146" s="1">
        <v>0</v>
      </c>
      <c r="J146" s="36"/>
    </row>
    <row r="147" spans="1:10" x14ac:dyDescent="0.25">
      <c r="A147" s="33">
        <v>92</v>
      </c>
      <c r="B147" s="9" t="s">
        <v>10</v>
      </c>
      <c r="C147" s="1">
        <f t="shared" si="49"/>
        <v>0</v>
      </c>
      <c r="D147" s="1">
        <v>0</v>
      </c>
      <c r="E147" s="1">
        <v>0</v>
      </c>
      <c r="F147" s="1">
        <v>0</v>
      </c>
      <c r="G147" s="1">
        <v>0</v>
      </c>
      <c r="H147" s="1">
        <v>0</v>
      </c>
      <c r="I147" s="1">
        <v>0</v>
      </c>
      <c r="J147" s="36"/>
    </row>
    <row r="148" spans="1:10" x14ac:dyDescent="0.25">
      <c r="A148" s="33">
        <v>93</v>
      </c>
      <c r="B148" s="9" t="s">
        <v>11</v>
      </c>
      <c r="C148" s="1">
        <f t="shared" si="49"/>
        <v>31431770.759999998</v>
      </c>
      <c r="D148" s="1">
        <f>4161903+D153+500000</f>
        <v>4844370.8099999996</v>
      </c>
      <c r="E148" s="1">
        <f>4236377-5237+456028+E153</f>
        <v>4824004.95</v>
      </c>
      <c r="F148" s="1">
        <v>4236378</v>
      </c>
      <c r="G148" s="1">
        <v>5842339</v>
      </c>
      <c r="H148" s="1">
        <v>5842339</v>
      </c>
      <c r="I148" s="1">
        <v>5842339</v>
      </c>
      <c r="J148" s="36"/>
    </row>
    <row r="149" spans="1:10" x14ac:dyDescent="0.25">
      <c r="A149" s="33">
        <v>94</v>
      </c>
      <c r="B149" s="9" t="s">
        <v>12</v>
      </c>
      <c r="C149" s="1">
        <f t="shared" si="49"/>
        <v>865000</v>
      </c>
      <c r="D149" s="1">
        <f>125000</f>
        <v>125000</v>
      </c>
      <c r="E149" s="1">
        <f>140000-40000</f>
        <v>100000</v>
      </c>
      <c r="F149" s="1">
        <v>160000</v>
      </c>
      <c r="G149" s="1">
        <v>160000</v>
      </c>
      <c r="H149" s="1">
        <v>160000</v>
      </c>
      <c r="I149" s="1">
        <v>160000</v>
      </c>
      <c r="J149" s="36"/>
    </row>
    <row r="150" spans="1:10" ht="81" x14ac:dyDescent="0.25">
      <c r="A150" s="33">
        <v>95</v>
      </c>
      <c r="B150" s="11" t="s">
        <v>118</v>
      </c>
      <c r="C150" s="2">
        <f t="shared" si="49"/>
        <v>319304.76</v>
      </c>
      <c r="D150" s="2">
        <f>SUM(D151:D154)</f>
        <v>182467.81</v>
      </c>
      <c r="E150" s="2">
        <f t="shared" ref="E150:I150" si="54">SUM(E151:E154)</f>
        <v>136836.95000000001</v>
      </c>
      <c r="F150" s="2">
        <f t="shared" si="54"/>
        <v>0</v>
      </c>
      <c r="G150" s="2">
        <f t="shared" si="54"/>
        <v>0</v>
      </c>
      <c r="H150" s="2">
        <f t="shared" si="54"/>
        <v>0</v>
      </c>
      <c r="I150" s="2">
        <f t="shared" si="54"/>
        <v>0</v>
      </c>
      <c r="J150" s="36" t="s">
        <v>125</v>
      </c>
    </row>
    <row r="151" spans="1:10" x14ac:dyDescent="0.25">
      <c r="A151" s="33">
        <v>96</v>
      </c>
      <c r="B151" s="9" t="s">
        <v>59</v>
      </c>
      <c r="C151" s="1">
        <f t="shared" si="49"/>
        <v>0</v>
      </c>
      <c r="D151" s="1">
        <v>0</v>
      </c>
      <c r="E151" s="1">
        <v>0</v>
      </c>
      <c r="F151" s="1">
        <v>0</v>
      </c>
      <c r="G151" s="1">
        <v>0</v>
      </c>
      <c r="H151" s="1">
        <v>0</v>
      </c>
      <c r="I151" s="1">
        <v>0</v>
      </c>
      <c r="J151" s="36"/>
    </row>
    <row r="152" spans="1:10" x14ac:dyDescent="0.25">
      <c r="A152" s="33">
        <v>97</v>
      </c>
      <c r="B152" s="9" t="s">
        <v>10</v>
      </c>
      <c r="C152" s="1">
        <f t="shared" si="49"/>
        <v>0</v>
      </c>
      <c r="D152" s="1">
        <v>0</v>
      </c>
      <c r="E152" s="1">
        <v>0</v>
      </c>
      <c r="F152" s="1">
        <v>0</v>
      </c>
      <c r="G152" s="1">
        <v>0</v>
      </c>
      <c r="H152" s="1">
        <v>0</v>
      </c>
      <c r="I152" s="1">
        <v>0</v>
      </c>
      <c r="J152" s="36"/>
    </row>
    <row r="153" spans="1:10" x14ac:dyDescent="0.25">
      <c r="A153" s="33">
        <v>98</v>
      </c>
      <c r="B153" s="9" t="s">
        <v>11</v>
      </c>
      <c r="C153" s="1">
        <f>SUM(D153:I153)</f>
        <v>319304.76</v>
      </c>
      <c r="D153" s="1">
        <v>182467.81</v>
      </c>
      <c r="E153" s="1">
        <v>136836.95000000001</v>
      </c>
      <c r="F153" s="1">
        <v>0</v>
      </c>
      <c r="G153" s="1">
        <v>0</v>
      </c>
      <c r="H153" s="1">
        <v>0</v>
      </c>
      <c r="I153" s="1">
        <v>0</v>
      </c>
      <c r="J153" s="36"/>
    </row>
    <row r="154" spans="1:10" x14ac:dyDescent="0.25">
      <c r="A154" s="33">
        <v>99</v>
      </c>
      <c r="B154" s="9" t="s">
        <v>12</v>
      </c>
      <c r="C154" s="1">
        <f t="shared" ref="C154" si="55">SUM(D154:I154)</f>
        <v>0</v>
      </c>
      <c r="D154" s="1">
        <v>0</v>
      </c>
      <c r="E154" s="1">
        <v>0</v>
      </c>
      <c r="F154" s="1">
        <v>0</v>
      </c>
      <c r="G154" s="1">
        <v>0</v>
      </c>
      <c r="H154" s="1">
        <v>0</v>
      </c>
      <c r="I154" s="1">
        <v>0</v>
      </c>
      <c r="J154" s="36"/>
    </row>
    <row r="155" spans="1:10" ht="67.5" x14ac:dyDescent="0.25">
      <c r="A155" s="33">
        <v>100</v>
      </c>
      <c r="B155" s="11" t="s">
        <v>107</v>
      </c>
      <c r="C155" s="2">
        <f t="shared" si="49"/>
        <v>165616087.94</v>
      </c>
      <c r="D155" s="2">
        <f>SUM(D156:D159)</f>
        <v>21978694.579999998</v>
      </c>
      <c r="E155" s="2">
        <f t="shared" ref="E155:I155" si="56">SUM(E156:E159)</f>
        <v>19771679.359999999</v>
      </c>
      <c r="F155" s="2">
        <f t="shared" si="56"/>
        <v>26734975</v>
      </c>
      <c r="G155" s="2">
        <f t="shared" si="56"/>
        <v>32376913</v>
      </c>
      <c r="H155" s="2">
        <f t="shared" si="56"/>
        <v>32376913</v>
      </c>
      <c r="I155" s="2">
        <f t="shared" si="56"/>
        <v>32376913</v>
      </c>
      <c r="J155" s="36" t="s">
        <v>126</v>
      </c>
    </row>
    <row r="156" spans="1:10" x14ac:dyDescent="0.25">
      <c r="A156" s="33">
        <v>101</v>
      </c>
      <c r="B156" s="9" t="s">
        <v>59</v>
      </c>
      <c r="C156" s="1">
        <f t="shared" si="49"/>
        <v>0</v>
      </c>
      <c r="D156" s="1">
        <v>0</v>
      </c>
      <c r="E156" s="1">
        <v>0</v>
      </c>
      <c r="F156" s="1">
        <v>0</v>
      </c>
      <c r="G156" s="1">
        <v>0</v>
      </c>
      <c r="H156" s="1">
        <v>0</v>
      </c>
      <c r="I156" s="1">
        <v>0</v>
      </c>
      <c r="J156" s="15"/>
    </row>
    <row r="157" spans="1:10" x14ac:dyDescent="0.25">
      <c r="A157" s="33">
        <v>102</v>
      </c>
      <c r="B157" s="9" t="s">
        <v>10</v>
      </c>
      <c r="C157" s="1">
        <f t="shared" si="49"/>
        <v>0</v>
      </c>
      <c r="D157" s="1">
        <v>0</v>
      </c>
      <c r="E157" s="1">
        <v>0</v>
      </c>
      <c r="F157" s="1">
        <v>0</v>
      </c>
      <c r="G157" s="1">
        <v>0</v>
      </c>
      <c r="H157" s="1">
        <v>0</v>
      </c>
      <c r="I157" s="1">
        <v>0</v>
      </c>
      <c r="J157" s="15"/>
    </row>
    <row r="158" spans="1:10" x14ac:dyDescent="0.25">
      <c r="A158" s="33">
        <v>103</v>
      </c>
      <c r="B158" s="9" t="s">
        <v>11</v>
      </c>
      <c r="C158" s="1">
        <f t="shared" si="49"/>
        <v>165291087.94</v>
      </c>
      <c r="D158" s="1">
        <f>24674975+D163-3701246</f>
        <v>21933694.579999998</v>
      </c>
      <c r="E158" s="1">
        <f>26674975-7570825+E163</f>
        <v>19731679.359999999</v>
      </c>
      <c r="F158" s="1">
        <v>26674975</v>
      </c>
      <c r="G158" s="1">
        <v>32316913</v>
      </c>
      <c r="H158" s="1">
        <v>32316913</v>
      </c>
      <c r="I158" s="1">
        <v>32316913</v>
      </c>
      <c r="J158" s="15"/>
    </row>
    <row r="159" spans="1:10" x14ac:dyDescent="0.25">
      <c r="A159" s="33">
        <v>104</v>
      </c>
      <c r="B159" s="9" t="s">
        <v>12</v>
      </c>
      <c r="C159" s="1">
        <f t="shared" si="49"/>
        <v>325000</v>
      </c>
      <c r="D159" s="1">
        <v>45000</v>
      </c>
      <c r="E159" s="1">
        <f>50000-10000</f>
        <v>40000</v>
      </c>
      <c r="F159" s="1">
        <v>60000</v>
      </c>
      <c r="G159" s="1">
        <v>60000</v>
      </c>
      <c r="H159" s="1">
        <v>60000</v>
      </c>
      <c r="I159" s="1">
        <v>60000</v>
      </c>
      <c r="J159" s="15"/>
    </row>
    <row r="160" spans="1:10" ht="81" x14ac:dyDescent="0.25">
      <c r="A160" s="33">
        <v>105</v>
      </c>
      <c r="B160" s="11" t="s">
        <v>119</v>
      </c>
      <c r="C160" s="2">
        <f t="shared" ref="C160:C162" si="57">SUM(D160:I160)</f>
        <v>1587494.94</v>
      </c>
      <c r="D160" s="2">
        <f>SUM(D161:D164)</f>
        <v>959965.58</v>
      </c>
      <c r="E160" s="2">
        <f t="shared" ref="E160:I160" si="58">SUM(E161:E164)</f>
        <v>627529.36</v>
      </c>
      <c r="F160" s="2">
        <f t="shared" si="58"/>
        <v>0</v>
      </c>
      <c r="G160" s="2">
        <f t="shared" si="58"/>
        <v>0</v>
      </c>
      <c r="H160" s="2">
        <f t="shared" si="58"/>
        <v>0</v>
      </c>
      <c r="I160" s="2">
        <f t="shared" si="58"/>
        <v>0</v>
      </c>
      <c r="J160" s="36" t="s">
        <v>125</v>
      </c>
    </row>
    <row r="161" spans="1:10" x14ac:dyDescent="0.25">
      <c r="A161" s="33">
        <v>106</v>
      </c>
      <c r="B161" s="9" t="s">
        <v>59</v>
      </c>
      <c r="C161" s="1">
        <f t="shared" si="57"/>
        <v>0</v>
      </c>
      <c r="D161" s="1">
        <v>0</v>
      </c>
      <c r="E161" s="1">
        <v>0</v>
      </c>
      <c r="F161" s="1">
        <v>0</v>
      </c>
      <c r="G161" s="1">
        <v>0</v>
      </c>
      <c r="H161" s="1">
        <v>0</v>
      </c>
      <c r="I161" s="1">
        <v>0</v>
      </c>
      <c r="J161" s="36"/>
    </row>
    <row r="162" spans="1:10" x14ac:dyDescent="0.25">
      <c r="A162" s="33">
        <v>107</v>
      </c>
      <c r="B162" s="9" t="s">
        <v>10</v>
      </c>
      <c r="C162" s="1">
        <f t="shared" si="57"/>
        <v>0</v>
      </c>
      <c r="D162" s="1">
        <v>0</v>
      </c>
      <c r="E162" s="1">
        <v>0</v>
      </c>
      <c r="F162" s="1">
        <v>0</v>
      </c>
      <c r="G162" s="1">
        <v>0</v>
      </c>
      <c r="H162" s="1">
        <v>0</v>
      </c>
      <c r="I162" s="1">
        <v>0</v>
      </c>
      <c r="J162" s="36"/>
    </row>
    <row r="163" spans="1:10" x14ac:dyDescent="0.25">
      <c r="A163" s="33">
        <v>108</v>
      </c>
      <c r="B163" s="9" t="s">
        <v>11</v>
      </c>
      <c r="C163" s="1">
        <f>SUM(D163:I163)</f>
        <v>1587494.94</v>
      </c>
      <c r="D163" s="1">
        <f>968905.46-8939.88</f>
        <v>959965.58</v>
      </c>
      <c r="E163" s="1">
        <v>627529.36</v>
      </c>
      <c r="F163" s="1">
        <v>0</v>
      </c>
      <c r="G163" s="1">
        <v>0</v>
      </c>
      <c r="H163" s="1">
        <v>0</v>
      </c>
      <c r="I163" s="1">
        <v>0</v>
      </c>
      <c r="J163" s="36"/>
    </row>
    <row r="164" spans="1:10" x14ac:dyDescent="0.25">
      <c r="A164" s="33">
        <v>109</v>
      </c>
      <c r="B164" s="9" t="s">
        <v>12</v>
      </c>
      <c r="C164" s="1">
        <f t="shared" ref="C164" si="59">SUM(D164:I164)</f>
        <v>0</v>
      </c>
      <c r="D164" s="1">
        <v>0</v>
      </c>
      <c r="E164" s="1">
        <v>0</v>
      </c>
      <c r="F164" s="1">
        <v>0</v>
      </c>
      <c r="G164" s="1">
        <v>0</v>
      </c>
      <c r="H164" s="1">
        <v>0</v>
      </c>
      <c r="I164" s="1">
        <v>0</v>
      </c>
      <c r="J164" s="36"/>
    </row>
    <row r="165" spans="1:10" ht="54" x14ac:dyDescent="0.25">
      <c r="A165" s="33">
        <v>110</v>
      </c>
      <c r="B165" s="11" t="s">
        <v>108</v>
      </c>
      <c r="C165" s="2">
        <f t="shared" si="49"/>
        <v>250574942.02000001</v>
      </c>
      <c r="D165" s="2">
        <f>SUM(D166:D169)</f>
        <v>43729548.120000005</v>
      </c>
      <c r="E165" s="2">
        <f t="shared" ref="E165:I165" si="60">SUM(E166:E169)</f>
        <v>42802297.469999999</v>
      </c>
      <c r="F165" s="2">
        <f t="shared" si="60"/>
        <v>40816821.43</v>
      </c>
      <c r="G165" s="2">
        <f t="shared" si="60"/>
        <v>41075425</v>
      </c>
      <c r="H165" s="2">
        <f t="shared" si="60"/>
        <v>41075425</v>
      </c>
      <c r="I165" s="2">
        <f t="shared" si="60"/>
        <v>41075425</v>
      </c>
      <c r="J165" s="36" t="s">
        <v>127</v>
      </c>
    </row>
    <row r="166" spans="1:10" x14ac:dyDescent="0.25">
      <c r="A166" s="33">
        <v>111</v>
      </c>
      <c r="B166" s="9" t="s">
        <v>59</v>
      </c>
      <c r="C166" s="1">
        <f t="shared" si="49"/>
        <v>0</v>
      </c>
      <c r="D166" s="1">
        <v>0</v>
      </c>
      <c r="E166" s="1">
        <v>0</v>
      </c>
      <c r="F166" s="1">
        <v>0</v>
      </c>
      <c r="G166" s="1">
        <v>0</v>
      </c>
      <c r="H166" s="1">
        <v>0</v>
      </c>
      <c r="I166" s="1">
        <v>0</v>
      </c>
      <c r="J166" s="15"/>
    </row>
    <row r="167" spans="1:10" x14ac:dyDescent="0.25">
      <c r="A167" s="33">
        <v>112</v>
      </c>
      <c r="B167" s="9" t="s">
        <v>10</v>
      </c>
      <c r="C167" s="1">
        <f t="shared" si="49"/>
        <v>0</v>
      </c>
      <c r="D167" s="1">
        <v>0</v>
      </c>
      <c r="E167" s="1">
        <v>0</v>
      </c>
      <c r="F167" s="1">
        <v>0</v>
      </c>
      <c r="G167" s="1">
        <v>0</v>
      </c>
      <c r="H167" s="1">
        <v>0</v>
      </c>
      <c r="I167" s="1">
        <v>0</v>
      </c>
      <c r="J167" s="36"/>
    </row>
    <row r="168" spans="1:10" x14ac:dyDescent="0.25">
      <c r="A168" s="33">
        <v>113</v>
      </c>
      <c r="B168" s="9" t="s">
        <v>11</v>
      </c>
      <c r="C168" s="1">
        <f t="shared" si="49"/>
        <v>199325413.02000001</v>
      </c>
      <c r="D168" s="1">
        <f>31296192+D173+3201246+569149</f>
        <v>35552148.120000005</v>
      </c>
      <c r="E168" s="1">
        <f>32296192+569768+E173+1329860-39547.94+1172297</f>
        <v>35792168.469999999</v>
      </c>
      <c r="F168" s="1">
        <v>31801321.43</v>
      </c>
      <c r="G168" s="1">
        <v>32059925</v>
      </c>
      <c r="H168" s="1">
        <v>32059925</v>
      </c>
      <c r="I168" s="1">
        <v>32059925</v>
      </c>
      <c r="J168" s="36"/>
    </row>
    <row r="169" spans="1:10" x14ac:dyDescent="0.25">
      <c r="A169" s="33">
        <v>114</v>
      </c>
      <c r="B169" s="9" t="s">
        <v>12</v>
      </c>
      <c r="C169" s="1">
        <f t="shared" si="49"/>
        <v>51249529</v>
      </c>
      <c r="D169" s="1">
        <v>8177400</v>
      </c>
      <c r="E169" s="1">
        <f>8586200-1576071</f>
        <v>7010129</v>
      </c>
      <c r="F169" s="1">
        <v>9015500</v>
      </c>
      <c r="G169" s="1">
        <v>9015500</v>
      </c>
      <c r="H169" s="1">
        <v>9015500</v>
      </c>
      <c r="I169" s="1">
        <v>9015500</v>
      </c>
      <c r="J169" s="36"/>
    </row>
    <row r="170" spans="1:10" ht="81" x14ac:dyDescent="0.25">
      <c r="A170" s="33">
        <v>115</v>
      </c>
      <c r="B170" s="11" t="s">
        <v>114</v>
      </c>
      <c r="C170" s="2">
        <f t="shared" si="49"/>
        <v>949160.53</v>
      </c>
      <c r="D170" s="2">
        <f>SUM(D171:D174)</f>
        <v>485561.12</v>
      </c>
      <c r="E170" s="2">
        <f t="shared" ref="E170:I170" si="61">SUM(E171:E174)</f>
        <v>463599.41</v>
      </c>
      <c r="F170" s="2">
        <f t="shared" si="61"/>
        <v>0</v>
      </c>
      <c r="G170" s="2">
        <f t="shared" si="61"/>
        <v>0</v>
      </c>
      <c r="H170" s="2">
        <f t="shared" si="61"/>
        <v>0</v>
      </c>
      <c r="I170" s="2">
        <f t="shared" si="61"/>
        <v>0</v>
      </c>
      <c r="J170" s="36" t="s">
        <v>125</v>
      </c>
    </row>
    <row r="171" spans="1:10" x14ac:dyDescent="0.25">
      <c r="A171" s="33">
        <v>116</v>
      </c>
      <c r="B171" s="9" t="s">
        <v>59</v>
      </c>
      <c r="C171" s="1">
        <f t="shared" si="49"/>
        <v>0</v>
      </c>
      <c r="D171" s="1">
        <v>0</v>
      </c>
      <c r="E171" s="1">
        <v>0</v>
      </c>
      <c r="F171" s="1">
        <v>0</v>
      </c>
      <c r="G171" s="1">
        <v>0</v>
      </c>
      <c r="H171" s="1">
        <v>0</v>
      </c>
      <c r="I171" s="1">
        <v>0</v>
      </c>
      <c r="J171" s="36"/>
    </row>
    <row r="172" spans="1:10" x14ac:dyDescent="0.25">
      <c r="A172" s="33">
        <v>117</v>
      </c>
      <c r="B172" s="9" t="s">
        <v>10</v>
      </c>
      <c r="C172" s="1">
        <f t="shared" si="49"/>
        <v>0</v>
      </c>
      <c r="D172" s="1">
        <v>0</v>
      </c>
      <c r="E172" s="1">
        <v>0</v>
      </c>
      <c r="F172" s="1">
        <v>0</v>
      </c>
      <c r="G172" s="1">
        <v>0</v>
      </c>
      <c r="H172" s="1">
        <v>0</v>
      </c>
      <c r="I172" s="1">
        <v>0</v>
      </c>
      <c r="J172" s="36"/>
    </row>
    <row r="173" spans="1:10" x14ac:dyDescent="0.25">
      <c r="A173" s="33">
        <v>118</v>
      </c>
      <c r="B173" s="9" t="s">
        <v>11</v>
      </c>
      <c r="C173" s="1">
        <f>SUM(D173:I173)</f>
        <v>949160.53</v>
      </c>
      <c r="D173" s="1">
        <v>485561.12</v>
      </c>
      <c r="E173" s="1">
        <f>424051.47+39547.94</f>
        <v>463599.41</v>
      </c>
      <c r="F173" s="1">
        <v>0</v>
      </c>
      <c r="G173" s="1">
        <v>0</v>
      </c>
      <c r="H173" s="1">
        <v>0</v>
      </c>
      <c r="I173" s="1">
        <v>0</v>
      </c>
      <c r="J173" s="36"/>
    </row>
    <row r="174" spans="1:10" x14ac:dyDescent="0.25">
      <c r="A174" s="33">
        <v>119</v>
      </c>
      <c r="B174" s="9" t="s">
        <v>12</v>
      </c>
      <c r="C174" s="1">
        <f t="shared" ref="C174" si="62">SUM(D174:I174)</f>
        <v>0</v>
      </c>
      <c r="D174" s="1">
        <v>0</v>
      </c>
      <c r="E174" s="1">
        <v>0</v>
      </c>
      <c r="F174" s="1">
        <v>0</v>
      </c>
      <c r="G174" s="1">
        <v>0</v>
      </c>
      <c r="H174" s="1">
        <v>0</v>
      </c>
      <c r="I174" s="1">
        <v>0</v>
      </c>
      <c r="J174" s="36"/>
    </row>
    <row r="175" spans="1:10" ht="94.5" x14ac:dyDescent="0.25">
      <c r="A175" s="33">
        <v>120</v>
      </c>
      <c r="B175" s="11" t="s">
        <v>122</v>
      </c>
      <c r="C175" s="2">
        <f>SUM(D175:I175)</f>
        <v>300000</v>
      </c>
      <c r="D175" s="2">
        <f>SUM(D176:D179)</f>
        <v>50000</v>
      </c>
      <c r="E175" s="2">
        <f t="shared" ref="E175:I175" si="63">SUM(E176:E179)</f>
        <v>250000</v>
      </c>
      <c r="F175" s="2">
        <f t="shared" si="63"/>
        <v>0</v>
      </c>
      <c r="G175" s="2">
        <f t="shared" si="63"/>
        <v>0</v>
      </c>
      <c r="H175" s="2">
        <f t="shared" si="63"/>
        <v>0</v>
      </c>
      <c r="I175" s="2">
        <f t="shared" si="63"/>
        <v>0</v>
      </c>
      <c r="J175" s="36" t="s">
        <v>125</v>
      </c>
    </row>
    <row r="176" spans="1:10" x14ac:dyDescent="0.25">
      <c r="A176" s="33">
        <v>121</v>
      </c>
      <c r="B176" s="9" t="s">
        <v>59</v>
      </c>
      <c r="C176" s="1">
        <f>SUM(D176:I176)</f>
        <v>100000</v>
      </c>
      <c r="D176" s="1">
        <v>50000</v>
      </c>
      <c r="E176" s="1">
        <v>50000</v>
      </c>
      <c r="F176" s="1">
        <v>0</v>
      </c>
      <c r="G176" s="1">
        <v>0</v>
      </c>
      <c r="H176" s="1">
        <v>0</v>
      </c>
      <c r="I176" s="1">
        <v>0</v>
      </c>
      <c r="J176" s="9"/>
    </row>
    <row r="177" spans="1:10" x14ac:dyDescent="0.25">
      <c r="A177" s="33">
        <v>122</v>
      </c>
      <c r="B177" s="9" t="s">
        <v>10</v>
      </c>
      <c r="C177" s="1">
        <f>SUM(D177:I177)</f>
        <v>0</v>
      </c>
      <c r="D177" s="1">
        <v>0</v>
      </c>
      <c r="E177" s="1">
        <v>0</v>
      </c>
      <c r="F177" s="1">
        <v>0</v>
      </c>
      <c r="G177" s="1">
        <v>0</v>
      </c>
      <c r="H177" s="1">
        <v>0</v>
      </c>
      <c r="I177" s="1">
        <v>0</v>
      </c>
      <c r="J177" s="9"/>
    </row>
    <row r="178" spans="1:10" x14ac:dyDescent="0.25">
      <c r="A178" s="33">
        <v>123</v>
      </c>
      <c r="B178" s="9" t="s">
        <v>11</v>
      </c>
      <c r="C178" s="1">
        <f>SUM(D178:I178)</f>
        <v>200000</v>
      </c>
      <c r="D178" s="1">
        <v>0</v>
      </c>
      <c r="E178" s="1">
        <v>200000</v>
      </c>
      <c r="F178" s="1">
        <v>0</v>
      </c>
      <c r="G178" s="1">
        <v>0</v>
      </c>
      <c r="H178" s="1">
        <v>0</v>
      </c>
      <c r="I178" s="1">
        <v>0</v>
      </c>
      <c r="J178" s="9"/>
    </row>
    <row r="179" spans="1:10" x14ac:dyDescent="0.25">
      <c r="A179" s="33">
        <v>124</v>
      </c>
      <c r="B179" s="9" t="s">
        <v>12</v>
      </c>
      <c r="C179" s="1">
        <f>SUM(D179:I179)</f>
        <v>0</v>
      </c>
      <c r="D179" s="1">
        <v>0</v>
      </c>
      <c r="E179" s="1">
        <v>0</v>
      </c>
      <c r="F179" s="1">
        <v>0</v>
      </c>
      <c r="G179" s="1">
        <v>0</v>
      </c>
      <c r="H179" s="1">
        <v>0</v>
      </c>
      <c r="I179" s="1">
        <v>0</v>
      </c>
      <c r="J179" s="9"/>
    </row>
    <row r="180" spans="1:10" x14ac:dyDescent="0.25">
      <c r="A180" s="33">
        <v>125</v>
      </c>
      <c r="B180" s="206" t="s">
        <v>15</v>
      </c>
      <c r="C180" s="207"/>
      <c r="D180" s="207"/>
      <c r="E180" s="207"/>
      <c r="F180" s="207"/>
      <c r="G180" s="207"/>
      <c r="H180" s="207"/>
      <c r="I180" s="207"/>
      <c r="J180" s="208"/>
    </row>
    <row r="181" spans="1:10" ht="27" customHeight="1" x14ac:dyDescent="0.25">
      <c r="A181" s="33">
        <v>126</v>
      </c>
      <c r="B181" s="206" t="s">
        <v>86</v>
      </c>
      <c r="C181" s="207"/>
      <c r="D181" s="207"/>
      <c r="E181" s="207"/>
      <c r="F181" s="207"/>
      <c r="G181" s="207"/>
      <c r="H181" s="207"/>
      <c r="I181" s="207"/>
      <c r="J181" s="208"/>
    </row>
    <row r="182" spans="1:10" x14ac:dyDescent="0.25">
      <c r="A182" s="33">
        <v>127</v>
      </c>
      <c r="B182" s="13" t="s">
        <v>14</v>
      </c>
      <c r="C182" s="3">
        <f>SUM(D182:I182)</f>
        <v>297518225.5</v>
      </c>
      <c r="D182" s="3">
        <f>SUM(D183:D186)</f>
        <v>49659554.780000001</v>
      </c>
      <c r="E182" s="3">
        <f t="shared" ref="E182:I182" si="64">SUM(E183:E186)</f>
        <v>53959751.719999999</v>
      </c>
      <c r="F182" s="3">
        <f t="shared" si="64"/>
        <v>42102151</v>
      </c>
      <c r="G182" s="3">
        <f t="shared" si="64"/>
        <v>51952256</v>
      </c>
      <c r="H182" s="3">
        <f t="shared" si="64"/>
        <v>50737256</v>
      </c>
      <c r="I182" s="3">
        <f t="shared" si="64"/>
        <v>49107256</v>
      </c>
      <c r="J182" s="36"/>
    </row>
    <row r="183" spans="1:10" x14ac:dyDescent="0.25">
      <c r="A183" s="33">
        <v>128</v>
      </c>
      <c r="B183" s="9" t="s">
        <v>59</v>
      </c>
      <c r="C183" s="1">
        <f>SUM(D183:I183)</f>
        <v>0</v>
      </c>
      <c r="D183" s="1">
        <v>0</v>
      </c>
      <c r="E183" s="1">
        <v>0</v>
      </c>
      <c r="F183" s="1">
        <v>0</v>
      </c>
      <c r="G183" s="1">
        <v>0</v>
      </c>
      <c r="H183" s="1">
        <v>0</v>
      </c>
      <c r="I183" s="1">
        <v>0</v>
      </c>
      <c r="J183" s="36"/>
    </row>
    <row r="184" spans="1:10" x14ac:dyDescent="0.25">
      <c r="A184" s="33">
        <v>129</v>
      </c>
      <c r="B184" s="9" t="s">
        <v>10</v>
      </c>
      <c r="C184" s="1">
        <f>SUM(D184:I184)</f>
        <v>284200</v>
      </c>
      <c r="D184" s="1">
        <f t="shared" ref="D184:I185" si="65">D196</f>
        <v>200000</v>
      </c>
      <c r="E184" s="1">
        <f t="shared" si="65"/>
        <v>84200</v>
      </c>
      <c r="F184" s="1">
        <f t="shared" si="65"/>
        <v>0</v>
      </c>
      <c r="G184" s="1">
        <f t="shared" si="65"/>
        <v>0</v>
      </c>
      <c r="H184" s="1">
        <f t="shared" si="65"/>
        <v>0</v>
      </c>
      <c r="I184" s="1">
        <f t="shared" si="65"/>
        <v>0</v>
      </c>
      <c r="J184" s="36"/>
    </row>
    <row r="185" spans="1:10" x14ac:dyDescent="0.25">
      <c r="A185" s="33">
        <v>130</v>
      </c>
      <c r="B185" s="9" t="s">
        <v>11</v>
      </c>
      <c r="C185" s="1">
        <f>SUM(D185:I185)</f>
        <v>262063875.5</v>
      </c>
      <c r="D185" s="1">
        <f>D197</f>
        <v>44267554.780000001</v>
      </c>
      <c r="E185" s="1">
        <f t="shared" si="65"/>
        <v>47042401.719999999</v>
      </c>
      <c r="F185" s="1">
        <f t="shared" si="65"/>
        <v>36382151</v>
      </c>
      <c r="G185" s="1">
        <f t="shared" si="65"/>
        <v>46167256</v>
      </c>
      <c r="H185" s="1">
        <f t="shared" si="65"/>
        <v>44897256</v>
      </c>
      <c r="I185" s="1">
        <f t="shared" si="65"/>
        <v>43307256</v>
      </c>
      <c r="J185" s="36"/>
    </row>
    <row r="186" spans="1:10" x14ac:dyDescent="0.25">
      <c r="A186" s="33">
        <v>131</v>
      </c>
      <c r="B186" s="9" t="s">
        <v>12</v>
      </c>
      <c r="C186" s="1">
        <f>SUM(D186:I186)</f>
        <v>35170150</v>
      </c>
      <c r="D186" s="1">
        <f t="shared" ref="D186:I186" si="66">D198</f>
        <v>5192000</v>
      </c>
      <c r="E186" s="1">
        <f t="shared" si="66"/>
        <v>6833150</v>
      </c>
      <c r="F186" s="1">
        <f t="shared" si="66"/>
        <v>5720000</v>
      </c>
      <c r="G186" s="1">
        <f t="shared" si="66"/>
        <v>5785000</v>
      </c>
      <c r="H186" s="1">
        <f t="shared" si="66"/>
        <v>5840000</v>
      </c>
      <c r="I186" s="1">
        <f t="shared" si="66"/>
        <v>5800000</v>
      </c>
      <c r="J186" s="36"/>
    </row>
    <row r="187" spans="1:10" x14ac:dyDescent="0.25">
      <c r="A187" s="33">
        <v>132</v>
      </c>
      <c r="B187" s="203" t="s">
        <v>60</v>
      </c>
      <c r="C187" s="204"/>
      <c r="D187" s="204"/>
      <c r="E187" s="204"/>
      <c r="F187" s="204"/>
      <c r="G187" s="204"/>
      <c r="H187" s="204"/>
      <c r="I187" s="204"/>
      <c r="J187" s="205"/>
    </row>
    <row r="188" spans="1:10" ht="25.5" x14ac:dyDescent="0.25">
      <c r="A188" s="33">
        <v>133</v>
      </c>
      <c r="B188" s="16" t="s">
        <v>62</v>
      </c>
      <c r="C188" s="3">
        <f>SUM(D188:I188)</f>
        <v>0</v>
      </c>
      <c r="D188" s="3">
        <f>SUM(D189:D192)</f>
        <v>0</v>
      </c>
      <c r="E188" s="3">
        <f t="shared" ref="E188:I188" si="67">SUM(E189:E192)</f>
        <v>0</v>
      </c>
      <c r="F188" s="3">
        <f t="shared" si="67"/>
        <v>0</v>
      </c>
      <c r="G188" s="3">
        <f t="shared" si="67"/>
        <v>0</v>
      </c>
      <c r="H188" s="3">
        <f t="shared" si="67"/>
        <v>0</v>
      </c>
      <c r="I188" s="3">
        <f t="shared" si="67"/>
        <v>0</v>
      </c>
      <c r="J188" s="36"/>
    </row>
    <row r="189" spans="1:10" x14ac:dyDescent="0.25">
      <c r="A189" s="33">
        <v>134</v>
      </c>
      <c r="B189" s="9" t="s">
        <v>59</v>
      </c>
      <c r="C189" s="1">
        <f>SUM(D189:I189)</f>
        <v>0</v>
      </c>
      <c r="D189" s="1">
        <v>0</v>
      </c>
      <c r="E189" s="1">
        <v>0</v>
      </c>
      <c r="F189" s="1">
        <v>0</v>
      </c>
      <c r="G189" s="1">
        <v>0</v>
      </c>
      <c r="H189" s="1">
        <v>0</v>
      </c>
      <c r="I189" s="1">
        <v>0</v>
      </c>
      <c r="J189" s="36"/>
    </row>
    <row r="190" spans="1:10" x14ac:dyDescent="0.25">
      <c r="A190" s="33">
        <v>135</v>
      </c>
      <c r="B190" s="17" t="s">
        <v>10</v>
      </c>
      <c r="C190" s="1">
        <f>SUM(D190:I190)</f>
        <v>0</v>
      </c>
      <c r="D190" s="1">
        <v>0</v>
      </c>
      <c r="E190" s="1">
        <v>0</v>
      </c>
      <c r="F190" s="1">
        <v>0</v>
      </c>
      <c r="G190" s="1">
        <v>0</v>
      </c>
      <c r="H190" s="1">
        <v>0</v>
      </c>
      <c r="I190" s="1">
        <v>0</v>
      </c>
      <c r="J190" s="36"/>
    </row>
    <row r="191" spans="1:10" x14ac:dyDescent="0.25">
      <c r="A191" s="33">
        <v>136</v>
      </c>
      <c r="B191" s="17" t="s">
        <v>11</v>
      </c>
      <c r="C191" s="1">
        <f>SUM(D191:I191)</f>
        <v>0</v>
      </c>
      <c r="D191" s="1">
        <v>0</v>
      </c>
      <c r="E191" s="1">
        <v>0</v>
      </c>
      <c r="F191" s="1">
        <v>0</v>
      </c>
      <c r="G191" s="1">
        <v>0</v>
      </c>
      <c r="H191" s="1">
        <v>0</v>
      </c>
      <c r="I191" s="1">
        <v>0</v>
      </c>
      <c r="J191" s="36"/>
    </row>
    <row r="192" spans="1:10" x14ac:dyDescent="0.25">
      <c r="A192" s="33">
        <v>137</v>
      </c>
      <c r="B192" s="17" t="s">
        <v>12</v>
      </c>
      <c r="C192" s="1">
        <f>SUM(D192:I192)</f>
        <v>0</v>
      </c>
      <c r="D192" s="1">
        <v>0</v>
      </c>
      <c r="E192" s="1">
        <v>0</v>
      </c>
      <c r="F192" s="1">
        <v>0</v>
      </c>
      <c r="G192" s="1">
        <v>0</v>
      </c>
      <c r="H192" s="1">
        <v>0</v>
      </c>
      <c r="I192" s="1">
        <v>0</v>
      </c>
      <c r="J192" s="36"/>
    </row>
    <row r="193" spans="1:10" x14ac:dyDescent="0.25">
      <c r="A193" s="33">
        <v>138</v>
      </c>
      <c r="B193" s="203" t="s">
        <v>22</v>
      </c>
      <c r="C193" s="204"/>
      <c r="D193" s="204"/>
      <c r="E193" s="204"/>
      <c r="F193" s="204"/>
      <c r="G193" s="204"/>
      <c r="H193" s="204"/>
      <c r="I193" s="204"/>
      <c r="J193" s="205"/>
    </row>
    <row r="194" spans="1:10" ht="25.5" x14ac:dyDescent="0.25">
      <c r="A194" s="33">
        <v>139</v>
      </c>
      <c r="B194" s="13" t="s">
        <v>23</v>
      </c>
      <c r="C194" s="3">
        <f>SUM(D194:I194)</f>
        <v>297518225.5</v>
      </c>
      <c r="D194" s="3">
        <f>SUM(D195:D198)</f>
        <v>49659554.780000001</v>
      </c>
      <c r="E194" s="3">
        <f t="shared" ref="E194:I194" si="68">SUM(E195:E198)</f>
        <v>53959751.719999999</v>
      </c>
      <c r="F194" s="3">
        <f t="shared" si="68"/>
        <v>42102151</v>
      </c>
      <c r="G194" s="3">
        <f t="shared" si="68"/>
        <v>51952256</v>
      </c>
      <c r="H194" s="3">
        <f t="shared" si="68"/>
        <v>50737256</v>
      </c>
      <c r="I194" s="3">
        <f t="shared" si="68"/>
        <v>49107256</v>
      </c>
      <c r="J194" s="36"/>
    </row>
    <row r="195" spans="1:10" x14ac:dyDescent="0.25">
      <c r="A195" s="33">
        <v>140</v>
      </c>
      <c r="B195" s="9" t="s">
        <v>59</v>
      </c>
      <c r="C195" s="1">
        <f t="shared" ref="C195:C196" si="69">SUM(D195:I195)</f>
        <v>0</v>
      </c>
      <c r="D195" s="1">
        <f>D200+D210+D231+D248+D253</f>
        <v>0</v>
      </c>
      <c r="E195" s="1">
        <f t="shared" ref="E195:I198" si="70">E200+E210+E231+E248+E253</f>
        <v>0</v>
      </c>
      <c r="F195" s="1">
        <f t="shared" si="70"/>
        <v>0</v>
      </c>
      <c r="G195" s="1">
        <f t="shared" si="70"/>
        <v>0</v>
      </c>
      <c r="H195" s="1">
        <f t="shared" si="70"/>
        <v>0</v>
      </c>
      <c r="I195" s="1">
        <f t="shared" si="70"/>
        <v>0</v>
      </c>
      <c r="J195" s="36"/>
    </row>
    <row r="196" spans="1:10" x14ac:dyDescent="0.25">
      <c r="A196" s="33">
        <v>141</v>
      </c>
      <c r="B196" s="9" t="s">
        <v>10</v>
      </c>
      <c r="C196" s="1">
        <f t="shared" si="69"/>
        <v>284200</v>
      </c>
      <c r="D196" s="1">
        <f>D201+D211+D232+D249+D254</f>
        <v>200000</v>
      </c>
      <c r="E196" s="1">
        <f t="shared" si="70"/>
        <v>84200</v>
      </c>
      <c r="F196" s="1">
        <f t="shared" si="70"/>
        <v>0</v>
      </c>
      <c r="G196" s="1">
        <f t="shared" si="70"/>
        <v>0</v>
      </c>
      <c r="H196" s="1">
        <f t="shared" si="70"/>
        <v>0</v>
      </c>
      <c r="I196" s="1">
        <f t="shared" si="70"/>
        <v>0</v>
      </c>
      <c r="J196" s="36"/>
    </row>
    <row r="197" spans="1:10" x14ac:dyDescent="0.25">
      <c r="A197" s="33">
        <v>142</v>
      </c>
      <c r="B197" s="9" t="s">
        <v>11</v>
      </c>
      <c r="C197" s="1">
        <f t="shared" ref="C197:C210" si="71">SUM(D197:I197)</f>
        <v>262063875.5</v>
      </c>
      <c r="D197" s="1">
        <f>D202+D212+D233+D250+D255</f>
        <v>44267554.780000001</v>
      </c>
      <c r="E197" s="1">
        <f t="shared" si="70"/>
        <v>47042401.719999999</v>
      </c>
      <c r="F197" s="1">
        <f t="shared" si="70"/>
        <v>36382151</v>
      </c>
      <c r="G197" s="1">
        <f t="shared" si="70"/>
        <v>46167256</v>
      </c>
      <c r="H197" s="1">
        <f t="shared" si="70"/>
        <v>44897256</v>
      </c>
      <c r="I197" s="1">
        <f t="shared" si="70"/>
        <v>43307256</v>
      </c>
      <c r="J197" s="36"/>
    </row>
    <row r="198" spans="1:10" x14ac:dyDescent="0.25">
      <c r="A198" s="33">
        <v>143</v>
      </c>
      <c r="B198" s="9" t="s">
        <v>12</v>
      </c>
      <c r="C198" s="1">
        <f t="shared" si="71"/>
        <v>35170150</v>
      </c>
      <c r="D198" s="1">
        <f>D203+D213+D234+D251+D256</f>
        <v>5192000</v>
      </c>
      <c r="E198" s="1">
        <f t="shared" si="70"/>
        <v>6833150</v>
      </c>
      <c r="F198" s="1">
        <f t="shared" si="70"/>
        <v>5720000</v>
      </c>
      <c r="G198" s="1">
        <f t="shared" si="70"/>
        <v>5785000</v>
      </c>
      <c r="H198" s="1">
        <f t="shared" si="70"/>
        <v>5840000</v>
      </c>
      <c r="I198" s="1">
        <f t="shared" si="70"/>
        <v>5800000</v>
      </c>
      <c r="J198" s="36"/>
    </row>
    <row r="199" spans="1:10" ht="40.5" x14ac:dyDescent="0.25">
      <c r="A199" s="33">
        <v>144</v>
      </c>
      <c r="B199" s="11" t="s">
        <v>91</v>
      </c>
      <c r="C199" s="2">
        <f t="shared" si="71"/>
        <v>286892552.5</v>
      </c>
      <c r="D199" s="2">
        <f t="shared" ref="D199:I199" si="72">SUM(D201:D203)</f>
        <v>48972554.780000001</v>
      </c>
      <c r="E199" s="2">
        <f t="shared" si="72"/>
        <v>53206078.719999999</v>
      </c>
      <c r="F199" s="2">
        <f t="shared" si="72"/>
        <v>41562151</v>
      </c>
      <c r="G199" s="2">
        <f t="shared" si="72"/>
        <v>47717256</v>
      </c>
      <c r="H199" s="2">
        <f t="shared" si="72"/>
        <v>47717256</v>
      </c>
      <c r="I199" s="2">
        <f t="shared" si="72"/>
        <v>47717256</v>
      </c>
      <c r="J199" s="18" t="s">
        <v>73</v>
      </c>
    </row>
    <row r="200" spans="1:10" x14ac:dyDescent="0.25">
      <c r="A200" s="33">
        <v>145</v>
      </c>
      <c r="B200" s="9" t="s">
        <v>59</v>
      </c>
      <c r="C200" s="1">
        <f t="shared" si="71"/>
        <v>0</v>
      </c>
      <c r="D200" s="1">
        <v>0</v>
      </c>
      <c r="E200" s="1">
        <v>0</v>
      </c>
      <c r="F200" s="1">
        <v>0</v>
      </c>
      <c r="G200" s="1">
        <v>0</v>
      </c>
      <c r="H200" s="1">
        <v>0</v>
      </c>
      <c r="I200" s="1">
        <v>0</v>
      </c>
      <c r="J200" s="36"/>
    </row>
    <row r="201" spans="1:10" x14ac:dyDescent="0.25">
      <c r="A201" s="33">
        <v>146</v>
      </c>
      <c r="B201" s="9" t="s">
        <v>10</v>
      </c>
      <c r="C201" s="1">
        <f t="shared" si="71"/>
        <v>0</v>
      </c>
      <c r="D201" s="1">
        <v>0</v>
      </c>
      <c r="E201" s="1">
        <v>0</v>
      </c>
      <c r="F201" s="1">
        <v>0</v>
      </c>
      <c r="G201" s="1">
        <v>0</v>
      </c>
      <c r="H201" s="1">
        <v>0</v>
      </c>
      <c r="I201" s="1">
        <v>0</v>
      </c>
      <c r="J201" s="36"/>
    </row>
    <row r="202" spans="1:10" x14ac:dyDescent="0.25">
      <c r="A202" s="33">
        <v>147</v>
      </c>
      <c r="B202" s="9" t="s">
        <v>11</v>
      </c>
      <c r="C202" s="1">
        <f t="shared" si="71"/>
        <v>254709402.5</v>
      </c>
      <c r="D202" s="1">
        <f>38509151+D207+5736922.28-569149</f>
        <v>44207554.780000001</v>
      </c>
      <c r="E202" s="1">
        <f>38509151+E207-2422000+2988329+3601446+1000000+2608357</f>
        <v>46787928.719999999</v>
      </c>
      <c r="F202" s="1">
        <f>38509151-2197000</f>
        <v>36312151</v>
      </c>
      <c r="G202" s="1">
        <v>42467256</v>
      </c>
      <c r="H202" s="1">
        <v>42467256</v>
      </c>
      <c r="I202" s="1">
        <v>42467256</v>
      </c>
      <c r="J202" s="36"/>
    </row>
    <row r="203" spans="1:10" x14ac:dyDescent="0.25">
      <c r="A203" s="33">
        <v>148</v>
      </c>
      <c r="B203" s="9" t="s">
        <v>12</v>
      </c>
      <c r="C203" s="1">
        <f t="shared" si="71"/>
        <v>32183150</v>
      </c>
      <c r="D203" s="1">
        <v>4765000</v>
      </c>
      <c r="E203" s="1">
        <f>5000000+1418150</f>
        <v>6418150</v>
      </c>
      <c r="F203" s="1">
        <v>5250000</v>
      </c>
      <c r="G203" s="1">
        <v>5250000</v>
      </c>
      <c r="H203" s="1">
        <v>5250000</v>
      </c>
      <c r="I203" s="1">
        <v>5250000</v>
      </c>
      <c r="J203" s="36"/>
    </row>
    <row r="204" spans="1:10" ht="81" x14ac:dyDescent="0.25">
      <c r="A204" s="33">
        <v>149</v>
      </c>
      <c r="B204" s="11" t="s">
        <v>120</v>
      </c>
      <c r="C204" s="2">
        <f t="shared" ref="C204:C206" si="73">SUM(D204:I204)</f>
        <v>1033276.22</v>
      </c>
      <c r="D204" s="2">
        <f>SUM(D205:D208)</f>
        <v>530630.5</v>
      </c>
      <c r="E204" s="2">
        <f t="shared" ref="E204:I204" si="74">SUM(E205:E208)</f>
        <v>502645.72</v>
      </c>
      <c r="F204" s="2">
        <f t="shared" si="74"/>
        <v>0</v>
      </c>
      <c r="G204" s="2">
        <f t="shared" si="74"/>
        <v>0</v>
      </c>
      <c r="H204" s="2">
        <f t="shared" si="74"/>
        <v>0</v>
      </c>
      <c r="I204" s="2">
        <f t="shared" si="74"/>
        <v>0</v>
      </c>
      <c r="J204" s="18" t="s">
        <v>73</v>
      </c>
    </row>
    <row r="205" spans="1:10" x14ac:dyDescent="0.25">
      <c r="A205" s="33">
        <v>150</v>
      </c>
      <c r="B205" s="9" t="s">
        <v>59</v>
      </c>
      <c r="C205" s="1">
        <f t="shared" si="73"/>
        <v>0</v>
      </c>
      <c r="D205" s="1">
        <v>0</v>
      </c>
      <c r="E205" s="1">
        <v>0</v>
      </c>
      <c r="F205" s="1">
        <v>0</v>
      </c>
      <c r="G205" s="1">
        <v>0</v>
      </c>
      <c r="H205" s="1">
        <v>0</v>
      </c>
      <c r="I205" s="1">
        <v>0</v>
      </c>
      <c r="J205" s="15"/>
    </row>
    <row r="206" spans="1:10" x14ac:dyDescent="0.25">
      <c r="A206" s="33">
        <v>151</v>
      </c>
      <c r="B206" s="9" t="s">
        <v>10</v>
      </c>
      <c r="C206" s="1">
        <f t="shared" si="73"/>
        <v>0</v>
      </c>
      <c r="D206" s="1">
        <v>0</v>
      </c>
      <c r="E206" s="1"/>
      <c r="F206" s="1"/>
      <c r="G206" s="1"/>
      <c r="H206" s="1"/>
      <c r="I206" s="1"/>
      <c r="J206" s="36"/>
    </row>
    <row r="207" spans="1:10" x14ac:dyDescent="0.25">
      <c r="A207" s="33">
        <v>152</v>
      </c>
      <c r="B207" s="9" t="s">
        <v>11</v>
      </c>
      <c r="C207" s="1">
        <f>SUM(D207:I207)</f>
        <v>1033276.22</v>
      </c>
      <c r="D207" s="1">
        <f>539622.5-8992</f>
        <v>530630.5</v>
      </c>
      <c r="E207" s="1">
        <v>502645.72</v>
      </c>
      <c r="F207" s="1"/>
      <c r="G207" s="1"/>
      <c r="H207" s="1"/>
      <c r="I207" s="1"/>
      <c r="J207" s="36"/>
    </row>
    <row r="208" spans="1:10" x14ac:dyDescent="0.25">
      <c r="A208" s="33">
        <v>153</v>
      </c>
      <c r="B208" s="9" t="s">
        <v>12</v>
      </c>
      <c r="C208" s="1">
        <f t="shared" ref="C208" si="75">SUM(D208:I208)</f>
        <v>0</v>
      </c>
      <c r="D208" s="1"/>
      <c r="E208" s="1"/>
      <c r="F208" s="1"/>
      <c r="G208" s="1"/>
      <c r="H208" s="1"/>
      <c r="I208" s="1"/>
      <c r="J208" s="36"/>
    </row>
    <row r="209" spans="1:10" ht="81" x14ac:dyDescent="0.25">
      <c r="A209" s="33">
        <v>154</v>
      </c>
      <c r="B209" s="11" t="s">
        <v>92</v>
      </c>
      <c r="C209" s="2">
        <f t="shared" si="71"/>
        <v>1887000</v>
      </c>
      <c r="D209" s="3">
        <f>SUM(D210:D213)</f>
        <v>187000</v>
      </c>
      <c r="E209" s="3">
        <f t="shared" ref="E209:I209" si="76">SUM(E210:E213)</f>
        <v>215000</v>
      </c>
      <c r="F209" s="3">
        <f t="shared" si="76"/>
        <v>240000</v>
      </c>
      <c r="G209" s="3">
        <f t="shared" si="76"/>
        <v>335000</v>
      </c>
      <c r="H209" s="3">
        <f t="shared" si="76"/>
        <v>520000</v>
      </c>
      <c r="I209" s="3">
        <f t="shared" si="76"/>
        <v>390000</v>
      </c>
      <c r="J209" s="18" t="s">
        <v>73</v>
      </c>
    </row>
    <row r="210" spans="1:10" x14ac:dyDescent="0.25">
      <c r="A210" s="33">
        <v>155</v>
      </c>
      <c r="B210" s="9" t="s">
        <v>59</v>
      </c>
      <c r="C210" s="1">
        <f t="shared" si="71"/>
        <v>0</v>
      </c>
      <c r="D210" s="1">
        <v>0</v>
      </c>
      <c r="E210" s="1">
        <v>0</v>
      </c>
      <c r="F210" s="1">
        <v>0</v>
      </c>
      <c r="G210" s="1">
        <v>0</v>
      </c>
      <c r="H210" s="1">
        <v>0</v>
      </c>
      <c r="I210" s="1">
        <v>0</v>
      </c>
      <c r="J210" s="19"/>
    </row>
    <row r="211" spans="1:10" x14ac:dyDescent="0.25">
      <c r="A211" s="33">
        <v>156</v>
      </c>
      <c r="B211" s="9" t="s">
        <v>10</v>
      </c>
      <c r="C211" s="1">
        <f t="shared" ref="C211:C252" si="77">SUM(D211:I211)</f>
        <v>0</v>
      </c>
      <c r="D211" s="1">
        <v>0</v>
      </c>
      <c r="E211" s="1">
        <v>0</v>
      </c>
      <c r="F211" s="1">
        <v>0</v>
      </c>
      <c r="G211" s="1">
        <v>0</v>
      </c>
      <c r="H211" s="1">
        <v>0</v>
      </c>
      <c r="I211" s="1">
        <v>0</v>
      </c>
      <c r="J211" s="36"/>
    </row>
    <row r="212" spans="1:10" x14ac:dyDescent="0.25">
      <c r="A212" s="33">
        <v>157</v>
      </c>
      <c r="B212" s="9" t="s">
        <v>11</v>
      </c>
      <c r="C212" s="1">
        <f t="shared" si="77"/>
        <v>1000000</v>
      </c>
      <c r="D212" s="1">
        <f>210000-150000</f>
        <v>60000</v>
      </c>
      <c r="E212" s="1">
        <f>70000+60000-30000</f>
        <v>100000</v>
      </c>
      <c r="F212" s="1">
        <v>70000</v>
      </c>
      <c r="G212" s="1">
        <v>200000</v>
      </c>
      <c r="H212" s="1">
        <v>330000</v>
      </c>
      <c r="I212" s="1">
        <v>240000</v>
      </c>
      <c r="J212" s="36"/>
    </row>
    <row r="213" spans="1:10" x14ac:dyDescent="0.25">
      <c r="A213" s="33">
        <v>158</v>
      </c>
      <c r="B213" s="9" t="s">
        <v>12</v>
      </c>
      <c r="C213" s="1">
        <f t="shared" si="77"/>
        <v>887000</v>
      </c>
      <c r="D213" s="1">
        <v>127000</v>
      </c>
      <c r="E213" s="1">
        <v>115000</v>
      </c>
      <c r="F213" s="1">
        <v>170000</v>
      </c>
      <c r="G213" s="1">
        <v>135000</v>
      </c>
      <c r="H213" s="1">
        <v>190000</v>
      </c>
      <c r="I213" s="1">
        <v>150000</v>
      </c>
      <c r="J213" s="36"/>
    </row>
    <row r="214" spans="1:10" ht="63.75" hidden="1" x14ac:dyDescent="0.25">
      <c r="A214" s="33">
        <v>159</v>
      </c>
      <c r="B214" s="9" t="s">
        <v>34</v>
      </c>
      <c r="C214" s="35">
        <f t="shared" si="77"/>
        <v>610</v>
      </c>
      <c r="D214" s="35">
        <f t="shared" ref="D214:I214" si="78">SUM(D215:D217)</f>
        <v>70</v>
      </c>
      <c r="E214" s="35">
        <f t="shared" si="78"/>
        <v>80</v>
      </c>
      <c r="F214" s="35">
        <f t="shared" si="78"/>
        <v>110</v>
      </c>
      <c r="G214" s="13">
        <f t="shared" si="78"/>
        <v>110</v>
      </c>
      <c r="H214" s="35">
        <f t="shared" si="78"/>
        <v>120</v>
      </c>
      <c r="I214" s="35">
        <f t="shared" si="78"/>
        <v>120</v>
      </c>
      <c r="J214" s="36"/>
    </row>
    <row r="215" spans="1:10" hidden="1" x14ac:dyDescent="0.25">
      <c r="A215" s="33">
        <v>160</v>
      </c>
      <c r="B215" s="9" t="s">
        <v>10</v>
      </c>
      <c r="C215" s="36">
        <f t="shared" si="77"/>
        <v>0</v>
      </c>
      <c r="D215" s="36"/>
      <c r="E215" s="36"/>
      <c r="F215" s="36"/>
      <c r="G215" s="9"/>
      <c r="H215" s="36"/>
      <c r="I215" s="36"/>
      <c r="J215" s="36"/>
    </row>
    <row r="216" spans="1:10" hidden="1" x14ac:dyDescent="0.25">
      <c r="A216" s="33">
        <v>161</v>
      </c>
      <c r="B216" s="9" t="s">
        <v>11</v>
      </c>
      <c r="C216" s="36">
        <f t="shared" si="77"/>
        <v>400</v>
      </c>
      <c r="D216" s="36">
        <v>50</v>
      </c>
      <c r="E216" s="36">
        <v>50</v>
      </c>
      <c r="F216" s="36">
        <v>70</v>
      </c>
      <c r="G216" s="9">
        <v>70</v>
      </c>
      <c r="H216" s="36">
        <v>80</v>
      </c>
      <c r="I216" s="36">
        <v>80</v>
      </c>
      <c r="J216" s="36"/>
    </row>
    <row r="217" spans="1:10" hidden="1" x14ac:dyDescent="0.25">
      <c r="A217" s="33">
        <v>162</v>
      </c>
      <c r="B217" s="9" t="s">
        <v>12</v>
      </c>
      <c r="C217" s="36">
        <f t="shared" si="77"/>
        <v>210</v>
      </c>
      <c r="D217" s="36">
        <v>20</v>
      </c>
      <c r="E217" s="36">
        <v>30</v>
      </c>
      <c r="F217" s="36">
        <v>40</v>
      </c>
      <c r="G217" s="9">
        <v>40</v>
      </c>
      <c r="H217" s="36">
        <v>40</v>
      </c>
      <c r="I217" s="36">
        <v>40</v>
      </c>
      <c r="J217" s="36"/>
    </row>
    <row r="218" spans="1:10" ht="38.25" hidden="1" x14ac:dyDescent="0.25">
      <c r="A218" s="33">
        <v>163</v>
      </c>
      <c r="B218" s="9" t="s">
        <v>35</v>
      </c>
      <c r="C218" s="35">
        <f t="shared" si="77"/>
        <v>685</v>
      </c>
      <c r="D218" s="35">
        <f t="shared" ref="D218:I218" si="79">SUM(D219:D221)</f>
        <v>105</v>
      </c>
      <c r="E218" s="35">
        <f t="shared" si="79"/>
        <v>50</v>
      </c>
      <c r="F218" s="35">
        <f t="shared" si="79"/>
        <v>125</v>
      </c>
      <c r="G218" s="35">
        <f t="shared" si="79"/>
        <v>125</v>
      </c>
      <c r="H218" s="35">
        <f t="shared" si="79"/>
        <v>140</v>
      </c>
      <c r="I218" s="35">
        <f t="shared" si="79"/>
        <v>140</v>
      </c>
      <c r="J218" s="36" t="s">
        <v>9</v>
      </c>
    </row>
    <row r="219" spans="1:10" hidden="1" x14ac:dyDescent="0.25">
      <c r="A219" s="33">
        <v>164</v>
      </c>
      <c r="B219" s="9" t="s">
        <v>10</v>
      </c>
      <c r="C219" s="36">
        <f t="shared" si="77"/>
        <v>0</v>
      </c>
      <c r="D219" s="36"/>
      <c r="E219" s="36"/>
      <c r="F219" s="36"/>
      <c r="G219" s="36"/>
      <c r="H219" s="36"/>
      <c r="I219" s="36"/>
      <c r="J219" s="36"/>
    </row>
    <row r="220" spans="1:10" hidden="1" x14ac:dyDescent="0.25">
      <c r="A220" s="33">
        <v>165</v>
      </c>
      <c r="B220" s="9" t="s">
        <v>11</v>
      </c>
      <c r="C220" s="36">
        <f t="shared" si="77"/>
        <v>360</v>
      </c>
      <c r="D220" s="36">
        <v>60</v>
      </c>
      <c r="E220" s="36"/>
      <c r="F220" s="36">
        <v>70</v>
      </c>
      <c r="G220" s="36">
        <v>70</v>
      </c>
      <c r="H220" s="36">
        <v>80</v>
      </c>
      <c r="I220" s="36">
        <v>80</v>
      </c>
      <c r="J220" s="36"/>
    </row>
    <row r="221" spans="1:10" hidden="1" x14ac:dyDescent="0.25">
      <c r="A221" s="33">
        <v>166</v>
      </c>
      <c r="B221" s="9" t="s">
        <v>12</v>
      </c>
      <c r="C221" s="36">
        <f t="shared" si="77"/>
        <v>325</v>
      </c>
      <c r="D221" s="36">
        <v>45</v>
      </c>
      <c r="E221" s="36">
        <v>50</v>
      </c>
      <c r="F221" s="36">
        <v>55</v>
      </c>
      <c r="G221" s="36">
        <v>55</v>
      </c>
      <c r="H221" s="36">
        <v>60</v>
      </c>
      <c r="I221" s="36">
        <v>60</v>
      </c>
      <c r="J221" s="36"/>
    </row>
    <row r="222" spans="1:10" ht="38.25" hidden="1" x14ac:dyDescent="0.25">
      <c r="A222" s="33">
        <v>167</v>
      </c>
      <c r="B222" s="9" t="s">
        <v>36</v>
      </c>
      <c r="C222" s="35">
        <f t="shared" si="77"/>
        <v>527</v>
      </c>
      <c r="D222" s="35">
        <f t="shared" ref="D222:I222" si="80">SUM(D223:D225)</f>
        <v>67</v>
      </c>
      <c r="E222" s="35">
        <f t="shared" si="80"/>
        <v>35</v>
      </c>
      <c r="F222" s="35">
        <f t="shared" si="80"/>
        <v>85</v>
      </c>
      <c r="G222" s="35">
        <f t="shared" si="80"/>
        <v>100</v>
      </c>
      <c r="H222" s="35">
        <f t="shared" si="80"/>
        <v>110</v>
      </c>
      <c r="I222" s="35">
        <f t="shared" si="80"/>
        <v>130</v>
      </c>
      <c r="J222" s="19"/>
    </row>
    <row r="223" spans="1:10" hidden="1" x14ac:dyDescent="0.25">
      <c r="A223" s="33">
        <v>168</v>
      </c>
      <c r="B223" s="9" t="s">
        <v>10</v>
      </c>
      <c r="C223" s="36">
        <f t="shared" si="77"/>
        <v>0</v>
      </c>
      <c r="D223" s="36"/>
      <c r="E223" s="36"/>
      <c r="F223" s="36"/>
      <c r="G223" s="36"/>
      <c r="H223" s="36"/>
      <c r="I223" s="36"/>
      <c r="J223" s="36"/>
    </row>
    <row r="224" spans="1:10" hidden="1" x14ac:dyDescent="0.25">
      <c r="A224" s="33">
        <v>169</v>
      </c>
      <c r="B224" s="9" t="s">
        <v>11</v>
      </c>
      <c r="C224" s="36">
        <f t="shared" si="77"/>
        <v>300</v>
      </c>
      <c r="D224" s="36">
        <v>40</v>
      </c>
      <c r="E224" s="36"/>
      <c r="F224" s="36">
        <v>50</v>
      </c>
      <c r="G224" s="36">
        <v>60</v>
      </c>
      <c r="H224" s="36">
        <v>70</v>
      </c>
      <c r="I224" s="36">
        <v>80</v>
      </c>
      <c r="J224" s="36"/>
    </row>
    <row r="225" spans="1:10" hidden="1" x14ac:dyDescent="0.25">
      <c r="A225" s="33">
        <v>170</v>
      </c>
      <c r="B225" s="9" t="s">
        <v>12</v>
      </c>
      <c r="C225" s="36">
        <f t="shared" si="77"/>
        <v>227</v>
      </c>
      <c r="D225" s="36">
        <v>27</v>
      </c>
      <c r="E225" s="36">
        <v>35</v>
      </c>
      <c r="F225" s="36">
        <v>35</v>
      </c>
      <c r="G225" s="36">
        <v>40</v>
      </c>
      <c r="H225" s="36">
        <v>40</v>
      </c>
      <c r="I225" s="36">
        <v>50</v>
      </c>
      <c r="J225" s="36"/>
    </row>
    <row r="226" spans="1:10" ht="51" hidden="1" x14ac:dyDescent="0.25">
      <c r="A226" s="33">
        <v>171</v>
      </c>
      <c r="B226" s="9" t="s">
        <v>37</v>
      </c>
      <c r="C226" s="35">
        <f t="shared" si="77"/>
        <v>415</v>
      </c>
      <c r="D226" s="35">
        <f t="shared" ref="D226:I226" si="81">SUM(D227:D229)</f>
        <v>95</v>
      </c>
      <c r="E226" s="35">
        <f t="shared" si="81"/>
        <v>50</v>
      </c>
      <c r="F226" s="35">
        <f t="shared" si="81"/>
        <v>120</v>
      </c>
      <c r="G226" s="35">
        <f t="shared" si="81"/>
        <v>0</v>
      </c>
      <c r="H226" s="35">
        <f t="shared" si="81"/>
        <v>150</v>
      </c>
      <c r="I226" s="35">
        <f t="shared" si="81"/>
        <v>0</v>
      </c>
      <c r="J226" s="36"/>
    </row>
    <row r="227" spans="1:10" hidden="1" x14ac:dyDescent="0.25">
      <c r="A227" s="33">
        <v>172</v>
      </c>
      <c r="B227" s="9" t="s">
        <v>10</v>
      </c>
      <c r="C227" s="36">
        <f t="shared" si="77"/>
        <v>0</v>
      </c>
      <c r="D227" s="36"/>
      <c r="E227" s="36"/>
      <c r="F227" s="36"/>
      <c r="G227" s="36"/>
      <c r="H227" s="36"/>
      <c r="I227" s="36"/>
      <c r="J227" s="36"/>
    </row>
    <row r="228" spans="1:10" hidden="1" x14ac:dyDescent="0.25">
      <c r="A228" s="33">
        <v>173</v>
      </c>
      <c r="B228" s="9" t="s">
        <v>11</v>
      </c>
      <c r="C228" s="36">
        <f t="shared" si="77"/>
        <v>290</v>
      </c>
      <c r="D228" s="36">
        <v>60</v>
      </c>
      <c r="E228" s="36">
        <v>50</v>
      </c>
      <c r="F228" s="36">
        <v>80</v>
      </c>
      <c r="G228" s="36"/>
      <c r="H228" s="36">
        <v>100</v>
      </c>
      <c r="I228" s="36"/>
      <c r="J228" s="36"/>
    </row>
    <row r="229" spans="1:10" hidden="1" x14ac:dyDescent="0.25">
      <c r="A229" s="33">
        <v>174</v>
      </c>
      <c r="B229" s="9" t="s">
        <v>12</v>
      </c>
      <c r="C229" s="36">
        <f t="shared" si="77"/>
        <v>125</v>
      </c>
      <c r="D229" s="36">
        <v>35</v>
      </c>
      <c r="E229" s="36"/>
      <c r="F229" s="36">
        <v>40</v>
      </c>
      <c r="G229" s="36"/>
      <c r="H229" s="36">
        <v>50</v>
      </c>
      <c r="I229" s="36"/>
      <c r="J229" s="36"/>
    </row>
    <row r="230" spans="1:10" ht="67.5" x14ac:dyDescent="0.25">
      <c r="A230" s="33">
        <v>159</v>
      </c>
      <c r="B230" s="11" t="s">
        <v>93</v>
      </c>
      <c r="C230" s="2">
        <f t="shared" si="77"/>
        <v>4624583</v>
      </c>
      <c r="D230" s="2">
        <f>SUM(D231:D234)</f>
        <v>0</v>
      </c>
      <c r="E230" s="2">
        <f t="shared" ref="E230:I230" si="82">SUM(E231:E234)</f>
        <v>124583</v>
      </c>
      <c r="F230" s="2">
        <f t="shared" si="82"/>
        <v>0</v>
      </c>
      <c r="G230" s="2">
        <f t="shared" si="82"/>
        <v>3000000</v>
      </c>
      <c r="H230" s="2">
        <f t="shared" si="82"/>
        <v>1500000</v>
      </c>
      <c r="I230" s="2">
        <f t="shared" si="82"/>
        <v>0</v>
      </c>
      <c r="J230" s="18" t="s">
        <v>73</v>
      </c>
    </row>
    <row r="231" spans="1:10" x14ac:dyDescent="0.25">
      <c r="A231" s="33">
        <v>160</v>
      </c>
      <c r="B231" s="9" t="s">
        <v>59</v>
      </c>
      <c r="C231" s="1">
        <f t="shared" si="77"/>
        <v>0</v>
      </c>
      <c r="D231" s="1">
        <v>0</v>
      </c>
      <c r="E231" s="1">
        <v>0</v>
      </c>
      <c r="F231" s="1">
        <v>0</v>
      </c>
      <c r="G231" s="1">
        <v>0</v>
      </c>
      <c r="H231" s="1">
        <v>0</v>
      </c>
      <c r="I231" s="1">
        <v>0</v>
      </c>
      <c r="J231" s="36"/>
    </row>
    <row r="232" spans="1:10" x14ac:dyDescent="0.25">
      <c r="A232" s="33">
        <v>161</v>
      </c>
      <c r="B232" s="9" t="s">
        <v>10</v>
      </c>
      <c r="C232" s="1">
        <f t="shared" si="77"/>
        <v>0</v>
      </c>
      <c r="D232" s="1">
        <f>D236+D240+D244</f>
        <v>0</v>
      </c>
      <c r="E232" s="1">
        <f t="shared" ref="E232:I232" si="83">E236+E240+E244</f>
        <v>0</v>
      </c>
      <c r="F232" s="1">
        <f t="shared" si="83"/>
        <v>0</v>
      </c>
      <c r="G232" s="1">
        <f t="shared" si="83"/>
        <v>0</v>
      </c>
      <c r="H232" s="1">
        <f t="shared" si="83"/>
        <v>0</v>
      </c>
      <c r="I232" s="1">
        <f t="shared" si="83"/>
        <v>0</v>
      </c>
      <c r="J232" s="36"/>
    </row>
    <row r="233" spans="1:10" x14ac:dyDescent="0.25">
      <c r="A233" s="33">
        <v>162</v>
      </c>
      <c r="B233" s="9" t="s">
        <v>11</v>
      </c>
      <c r="C233" s="1">
        <f t="shared" si="77"/>
        <v>4624583</v>
      </c>
      <c r="D233" s="1">
        <f t="shared" ref="D233:I234" si="84">D237+D241+D245</f>
        <v>0</v>
      </c>
      <c r="E233" s="1">
        <f>E237+E241+E245-875417</f>
        <v>124583</v>
      </c>
      <c r="F233" s="1">
        <f t="shared" si="84"/>
        <v>0</v>
      </c>
      <c r="G233" s="1">
        <f t="shared" si="84"/>
        <v>3000000</v>
      </c>
      <c r="H233" s="1">
        <f t="shared" si="84"/>
        <v>1500000</v>
      </c>
      <c r="I233" s="1">
        <f t="shared" si="84"/>
        <v>0</v>
      </c>
      <c r="J233" s="36"/>
    </row>
    <row r="234" spans="1:10" x14ac:dyDescent="0.25">
      <c r="A234" s="33">
        <v>163</v>
      </c>
      <c r="B234" s="9" t="s">
        <v>12</v>
      </c>
      <c r="C234" s="1">
        <f t="shared" si="77"/>
        <v>0</v>
      </c>
      <c r="D234" s="1">
        <f t="shared" si="84"/>
        <v>0</v>
      </c>
      <c r="E234" s="1">
        <f t="shared" si="84"/>
        <v>0</v>
      </c>
      <c r="F234" s="1">
        <f t="shared" si="84"/>
        <v>0</v>
      </c>
      <c r="G234" s="1">
        <f t="shared" si="84"/>
        <v>0</v>
      </c>
      <c r="H234" s="1">
        <f t="shared" si="84"/>
        <v>0</v>
      </c>
      <c r="I234" s="1">
        <f t="shared" si="84"/>
        <v>0</v>
      </c>
      <c r="J234" s="36"/>
    </row>
    <row r="235" spans="1:10" ht="89.25" hidden="1" x14ac:dyDescent="0.25">
      <c r="A235" s="33">
        <v>164</v>
      </c>
      <c r="B235" s="9" t="s">
        <v>68</v>
      </c>
      <c r="C235" s="1">
        <f t="shared" si="77"/>
        <v>4000000</v>
      </c>
      <c r="D235" s="1">
        <f t="shared" ref="D235:I235" si="85">SUM(D236:D238)</f>
        <v>0</v>
      </c>
      <c r="E235" s="1">
        <f t="shared" si="85"/>
        <v>1000000</v>
      </c>
      <c r="F235" s="1">
        <f t="shared" si="85"/>
        <v>0</v>
      </c>
      <c r="G235" s="1">
        <f t="shared" si="85"/>
        <v>3000000</v>
      </c>
      <c r="H235" s="3">
        <f t="shared" si="85"/>
        <v>0</v>
      </c>
      <c r="I235" s="3">
        <f t="shared" si="85"/>
        <v>0</v>
      </c>
      <c r="J235" s="36"/>
    </row>
    <row r="236" spans="1:10" hidden="1" x14ac:dyDescent="0.25">
      <c r="A236" s="33">
        <v>165</v>
      </c>
      <c r="B236" s="9" t="s">
        <v>10</v>
      </c>
      <c r="C236" s="1">
        <f t="shared" si="77"/>
        <v>0</v>
      </c>
      <c r="D236" s="1"/>
      <c r="E236" s="1"/>
      <c r="F236" s="1"/>
      <c r="G236" s="1"/>
      <c r="H236" s="1"/>
      <c r="I236" s="1"/>
      <c r="J236" s="36"/>
    </row>
    <row r="237" spans="1:10" hidden="1" x14ac:dyDescent="0.25">
      <c r="A237" s="33">
        <v>166</v>
      </c>
      <c r="B237" s="9" t="s">
        <v>11</v>
      </c>
      <c r="C237" s="1">
        <f t="shared" si="77"/>
        <v>4000000</v>
      </c>
      <c r="D237" s="1">
        <f>1000000-1000000</f>
        <v>0</v>
      </c>
      <c r="E237" s="1">
        <v>1000000</v>
      </c>
      <c r="F237" s="1"/>
      <c r="G237" s="1">
        <v>3000000</v>
      </c>
      <c r="H237" s="1"/>
      <c r="I237" s="1"/>
      <c r="J237" s="36"/>
    </row>
    <row r="238" spans="1:10" hidden="1" x14ac:dyDescent="0.25">
      <c r="A238" s="33">
        <v>167</v>
      </c>
      <c r="B238" s="9" t="s">
        <v>12</v>
      </c>
      <c r="C238" s="1">
        <f t="shared" si="77"/>
        <v>0</v>
      </c>
      <c r="D238" s="1"/>
      <c r="E238" s="1"/>
      <c r="F238" s="1"/>
      <c r="G238" s="1"/>
      <c r="H238" s="1"/>
      <c r="I238" s="1"/>
      <c r="J238" s="36"/>
    </row>
    <row r="239" spans="1:10" ht="89.25" hidden="1" x14ac:dyDescent="0.25">
      <c r="A239" s="33">
        <v>168</v>
      </c>
      <c r="B239" s="9" t="s">
        <v>69</v>
      </c>
      <c r="C239" s="1">
        <f t="shared" si="77"/>
        <v>2000000</v>
      </c>
      <c r="D239" s="1">
        <f t="shared" ref="D239:I239" si="86">SUM(D240:D242)</f>
        <v>0</v>
      </c>
      <c r="E239" s="1">
        <v>1000000</v>
      </c>
      <c r="F239" s="1">
        <v>1000000</v>
      </c>
      <c r="G239" s="3">
        <f t="shared" si="86"/>
        <v>0</v>
      </c>
      <c r="H239" s="3">
        <f t="shared" si="86"/>
        <v>0</v>
      </c>
      <c r="I239" s="3">
        <f t="shared" si="86"/>
        <v>0</v>
      </c>
      <c r="J239" s="36"/>
    </row>
    <row r="240" spans="1:10" hidden="1" x14ac:dyDescent="0.25">
      <c r="A240" s="33">
        <v>169</v>
      </c>
      <c r="B240" s="9" t="s">
        <v>10</v>
      </c>
      <c r="C240" s="1">
        <f t="shared" si="77"/>
        <v>0</v>
      </c>
      <c r="D240" s="1"/>
      <c r="E240" s="1"/>
      <c r="F240" s="1"/>
      <c r="G240" s="1"/>
      <c r="H240" s="1"/>
      <c r="I240" s="1"/>
      <c r="J240" s="36"/>
    </row>
    <row r="241" spans="1:10" hidden="1" x14ac:dyDescent="0.25">
      <c r="A241" s="33">
        <v>170</v>
      </c>
      <c r="B241" s="9" t="s">
        <v>11</v>
      </c>
      <c r="C241" s="1">
        <f t="shared" si="77"/>
        <v>0</v>
      </c>
      <c r="D241" s="1"/>
      <c r="E241" s="1">
        <v>0</v>
      </c>
      <c r="F241" s="1">
        <v>0</v>
      </c>
      <c r="G241" s="1"/>
      <c r="H241" s="1"/>
      <c r="I241" s="1"/>
      <c r="J241" s="36"/>
    </row>
    <row r="242" spans="1:10" hidden="1" x14ac:dyDescent="0.25">
      <c r="A242" s="33">
        <v>171</v>
      </c>
      <c r="B242" s="9" t="s">
        <v>12</v>
      </c>
      <c r="C242" s="1">
        <f t="shared" si="77"/>
        <v>0</v>
      </c>
      <c r="D242" s="1"/>
      <c r="E242" s="1"/>
      <c r="F242" s="1"/>
      <c r="G242" s="1"/>
      <c r="H242" s="1"/>
      <c r="I242" s="1"/>
      <c r="J242" s="36"/>
    </row>
    <row r="243" spans="1:10" ht="89.25" hidden="1" x14ac:dyDescent="0.25">
      <c r="A243" s="33">
        <v>172</v>
      </c>
      <c r="B243" s="9" t="s">
        <v>70</v>
      </c>
      <c r="C243" s="3">
        <f t="shared" si="77"/>
        <v>1500000</v>
      </c>
      <c r="D243" s="3">
        <f t="shared" ref="D243:I243" si="87">SUM(D244:D246)</f>
        <v>0</v>
      </c>
      <c r="E243" s="3">
        <f t="shared" si="87"/>
        <v>0</v>
      </c>
      <c r="F243" s="3">
        <v>0</v>
      </c>
      <c r="G243" s="3">
        <f t="shared" si="87"/>
        <v>0</v>
      </c>
      <c r="H243" s="3">
        <v>1500000</v>
      </c>
      <c r="I243" s="3">
        <f t="shared" si="87"/>
        <v>0</v>
      </c>
      <c r="J243" s="36"/>
    </row>
    <row r="244" spans="1:10" hidden="1" x14ac:dyDescent="0.25">
      <c r="A244" s="33">
        <v>173</v>
      </c>
      <c r="B244" s="9" t="s">
        <v>38</v>
      </c>
      <c r="C244" s="1">
        <f t="shared" si="77"/>
        <v>0</v>
      </c>
      <c r="D244" s="1"/>
      <c r="E244" s="1"/>
      <c r="F244" s="1"/>
      <c r="G244" s="1"/>
      <c r="H244" s="1"/>
      <c r="I244" s="1"/>
      <c r="J244" s="36"/>
    </row>
    <row r="245" spans="1:10" hidden="1" x14ac:dyDescent="0.25">
      <c r="A245" s="33">
        <v>174</v>
      </c>
      <c r="B245" s="9" t="s">
        <v>11</v>
      </c>
      <c r="C245" s="1">
        <f t="shared" si="77"/>
        <v>1500000</v>
      </c>
      <c r="D245" s="1"/>
      <c r="E245" s="1"/>
      <c r="F245" s="1">
        <v>0</v>
      </c>
      <c r="G245" s="1"/>
      <c r="H245" s="1">
        <v>1500000</v>
      </c>
      <c r="I245" s="1"/>
      <c r="J245" s="36"/>
    </row>
    <row r="246" spans="1:10" hidden="1" x14ac:dyDescent="0.25">
      <c r="A246" s="33">
        <v>175</v>
      </c>
      <c r="B246" s="9" t="s">
        <v>12</v>
      </c>
      <c r="C246" s="1">
        <f t="shared" si="77"/>
        <v>0</v>
      </c>
      <c r="D246" s="1"/>
      <c r="E246" s="1"/>
      <c r="F246" s="1"/>
      <c r="G246" s="1"/>
      <c r="H246" s="1"/>
      <c r="I246" s="1"/>
      <c r="J246" s="36"/>
    </row>
    <row r="247" spans="1:10" ht="108" x14ac:dyDescent="0.25">
      <c r="A247" s="33">
        <v>164</v>
      </c>
      <c r="B247" s="11" t="s">
        <v>111</v>
      </c>
      <c r="C247" s="2">
        <f t="shared" si="77"/>
        <v>0</v>
      </c>
      <c r="D247" s="2">
        <f>SUM(D248:D251)</f>
        <v>0</v>
      </c>
      <c r="E247" s="2">
        <f>SUM(E248:E251)</f>
        <v>0</v>
      </c>
      <c r="F247" s="2">
        <f t="shared" ref="F247:I247" si="88">SUM(F248:F251)</f>
        <v>0</v>
      </c>
      <c r="G247" s="2">
        <f t="shared" si="88"/>
        <v>0</v>
      </c>
      <c r="H247" s="2">
        <f t="shared" si="88"/>
        <v>0</v>
      </c>
      <c r="I247" s="2">
        <f t="shared" si="88"/>
        <v>0</v>
      </c>
      <c r="J247" s="34" t="s">
        <v>128</v>
      </c>
    </row>
    <row r="248" spans="1:10" x14ac:dyDescent="0.25">
      <c r="A248" s="33">
        <v>165</v>
      </c>
      <c r="B248" s="9" t="s">
        <v>59</v>
      </c>
      <c r="C248" s="1">
        <f t="shared" si="77"/>
        <v>0</v>
      </c>
      <c r="D248" s="1">
        <v>0</v>
      </c>
      <c r="E248" s="1">
        <v>0</v>
      </c>
      <c r="F248" s="1">
        <v>0</v>
      </c>
      <c r="G248" s="1">
        <v>0</v>
      </c>
      <c r="H248" s="1">
        <v>0</v>
      </c>
      <c r="I248" s="1">
        <v>0</v>
      </c>
      <c r="J248" s="36"/>
    </row>
    <row r="249" spans="1:10" x14ac:dyDescent="0.25">
      <c r="A249" s="33">
        <v>166</v>
      </c>
      <c r="B249" s="9" t="s">
        <v>10</v>
      </c>
      <c r="C249" s="1">
        <f t="shared" si="77"/>
        <v>0</v>
      </c>
      <c r="D249" s="1">
        <v>0</v>
      </c>
      <c r="E249" s="1">
        <v>0</v>
      </c>
      <c r="F249" s="1">
        <v>0</v>
      </c>
      <c r="G249" s="1">
        <v>0</v>
      </c>
      <c r="H249" s="1">
        <v>0</v>
      </c>
      <c r="I249" s="1">
        <v>0</v>
      </c>
      <c r="J249" s="36"/>
    </row>
    <row r="250" spans="1:10" x14ac:dyDescent="0.25">
      <c r="A250" s="33">
        <v>167</v>
      </c>
      <c r="B250" s="9" t="s">
        <v>11</v>
      </c>
      <c r="C250" s="1">
        <f t="shared" si="77"/>
        <v>0</v>
      </c>
      <c r="D250" s="1">
        <v>0</v>
      </c>
      <c r="E250" s="1">
        <f>20000-20000</f>
        <v>0</v>
      </c>
      <c r="F250" s="1">
        <v>0</v>
      </c>
      <c r="G250" s="1">
        <v>0</v>
      </c>
      <c r="H250" s="1">
        <v>0</v>
      </c>
      <c r="I250" s="1">
        <v>0</v>
      </c>
      <c r="J250" s="36"/>
    </row>
    <row r="251" spans="1:10" x14ac:dyDescent="0.25">
      <c r="A251" s="33">
        <v>168</v>
      </c>
      <c r="B251" s="9" t="s">
        <v>12</v>
      </c>
      <c r="C251" s="1">
        <f t="shared" si="77"/>
        <v>0</v>
      </c>
      <c r="D251" s="1">
        <v>0</v>
      </c>
      <c r="E251" s="1">
        <v>0</v>
      </c>
      <c r="F251" s="1">
        <v>0</v>
      </c>
      <c r="G251" s="1">
        <v>0</v>
      </c>
      <c r="H251" s="1">
        <v>0</v>
      </c>
      <c r="I251" s="1">
        <v>0</v>
      </c>
      <c r="J251" s="36"/>
    </row>
    <row r="252" spans="1:10" ht="94.5" x14ac:dyDescent="0.25">
      <c r="A252" s="33">
        <v>169</v>
      </c>
      <c r="B252" s="11" t="s">
        <v>109</v>
      </c>
      <c r="C252" s="2">
        <f t="shared" si="77"/>
        <v>4114090</v>
      </c>
      <c r="D252" s="2">
        <f t="shared" ref="D252:I252" si="89">SUM(D254:D256)</f>
        <v>500000</v>
      </c>
      <c r="E252" s="2">
        <f t="shared" si="89"/>
        <v>414090</v>
      </c>
      <c r="F252" s="2">
        <f t="shared" si="89"/>
        <v>300000</v>
      </c>
      <c r="G252" s="2">
        <f t="shared" si="89"/>
        <v>900000</v>
      </c>
      <c r="H252" s="2">
        <f t="shared" si="89"/>
        <v>1000000</v>
      </c>
      <c r="I252" s="2">
        <f t="shared" si="89"/>
        <v>1000000</v>
      </c>
      <c r="J252" s="18" t="s">
        <v>73</v>
      </c>
    </row>
    <row r="253" spans="1:10" x14ac:dyDescent="0.25">
      <c r="A253" s="33">
        <v>170</v>
      </c>
      <c r="B253" s="9" t="s">
        <v>59</v>
      </c>
      <c r="C253" s="1">
        <f>SUM(D253:I253)</f>
        <v>0</v>
      </c>
      <c r="D253" s="1">
        <v>0</v>
      </c>
      <c r="E253" s="1">
        <v>0</v>
      </c>
      <c r="F253" s="1">
        <v>0</v>
      </c>
      <c r="G253" s="1">
        <v>0</v>
      </c>
      <c r="H253" s="1">
        <v>0</v>
      </c>
      <c r="I253" s="1">
        <v>0</v>
      </c>
      <c r="J253" s="36"/>
    </row>
    <row r="254" spans="1:10" x14ac:dyDescent="0.25">
      <c r="A254" s="33">
        <v>171</v>
      </c>
      <c r="B254" s="9" t="s">
        <v>10</v>
      </c>
      <c r="C254" s="1">
        <f>SUM(D254:I254)</f>
        <v>284200</v>
      </c>
      <c r="D254" s="1">
        <v>200000</v>
      </c>
      <c r="E254" s="1">
        <v>84200</v>
      </c>
      <c r="F254" s="1">
        <v>0</v>
      </c>
      <c r="G254" s="1">
        <v>0</v>
      </c>
      <c r="H254" s="1">
        <v>0</v>
      </c>
      <c r="I254" s="1">
        <v>0</v>
      </c>
      <c r="J254" s="36"/>
    </row>
    <row r="255" spans="1:10" x14ac:dyDescent="0.25">
      <c r="A255" s="33">
        <v>172</v>
      </c>
      <c r="B255" s="9" t="s">
        <v>11</v>
      </c>
      <c r="C255" s="1">
        <f>SUM(D255:I255)</f>
        <v>1729890</v>
      </c>
      <c r="D255" s="1">
        <v>0</v>
      </c>
      <c r="E255" s="1">
        <f>29890</f>
        <v>29890</v>
      </c>
      <c r="F255" s="1">
        <v>0</v>
      </c>
      <c r="G255" s="1">
        <v>500000</v>
      </c>
      <c r="H255" s="1">
        <v>600000</v>
      </c>
      <c r="I255" s="1">
        <v>600000</v>
      </c>
      <c r="J255" s="36"/>
    </row>
    <row r="256" spans="1:10" x14ac:dyDescent="0.25">
      <c r="A256" s="33">
        <v>173</v>
      </c>
      <c r="B256" s="9" t="s">
        <v>12</v>
      </c>
      <c r="C256" s="1">
        <f>SUM(D256:I256)</f>
        <v>2100000</v>
      </c>
      <c r="D256" s="1">
        <v>300000</v>
      </c>
      <c r="E256" s="1">
        <v>300000</v>
      </c>
      <c r="F256" s="1">
        <v>300000</v>
      </c>
      <c r="G256" s="1">
        <v>400000</v>
      </c>
      <c r="H256" s="1">
        <v>400000</v>
      </c>
      <c r="I256" s="1">
        <v>400000</v>
      </c>
      <c r="J256" s="36"/>
    </row>
    <row r="257" spans="1:10" x14ac:dyDescent="0.25">
      <c r="A257" s="33">
        <v>174</v>
      </c>
      <c r="B257" s="206" t="s">
        <v>39</v>
      </c>
      <c r="C257" s="207"/>
      <c r="D257" s="207"/>
      <c r="E257" s="207"/>
      <c r="F257" s="207"/>
      <c r="G257" s="207"/>
      <c r="H257" s="207"/>
      <c r="I257" s="207"/>
      <c r="J257" s="208"/>
    </row>
    <row r="258" spans="1:10" x14ac:dyDescent="0.25">
      <c r="A258" s="33">
        <v>175</v>
      </c>
      <c r="B258" s="206" t="s">
        <v>87</v>
      </c>
      <c r="C258" s="207"/>
      <c r="D258" s="207"/>
      <c r="E258" s="207"/>
      <c r="F258" s="207"/>
      <c r="G258" s="207"/>
      <c r="H258" s="207"/>
      <c r="I258" s="207"/>
      <c r="J258" s="208"/>
    </row>
    <row r="259" spans="1:10" x14ac:dyDescent="0.25">
      <c r="A259" s="33">
        <v>176</v>
      </c>
      <c r="B259" s="13" t="s">
        <v>40</v>
      </c>
      <c r="C259" s="3">
        <f>SUM(D259:I259)</f>
        <v>520000</v>
      </c>
      <c r="D259" s="3">
        <f>SUM(D260:D263)</f>
        <v>50000</v>
      </c>
      <c r="E259" s="3">
        <f t="shared" ref="E259:I259" si="90">SUM(E260:E263)</f>
        <v>50000</v>
      </c>
      <c r="F259" s="3">
        <f t="shared" si="90"/>
        <v>0</v>
      </c>
      <c r="G259" s="3">
        <f t="shared" si="90"/>
        <v>380000</v>
      </c>
      <c r="H259" s="3">
        <f t="shared" si="90"/>
        <v>20000</v>
      </c>
      <c r="I259" s="3">
        <f t="shared" si="90"/>
        <v>20000</v>
      </c>
      <c r="J259" s="36"/>
    </row>
    <row r="260" spans="1:10" x14ac:dyDescent="0.25">
      <c r="A260" s="33">
        <v>177</v>
      </c>
      <c r="B260" s="9" t="s">
        <v>59</v>
      </c>
      <c r="C260" s="3"/>
      <c r="D260" s="1">
        <f>D266+D272</f>
        <v>0</v>
      </c>
      <c r="E260" s="1">
        <f t="shared" ref="E260:I260" si="91">E266+E272</f>
        <v>0</v>
      </c>
      <c r="F260" s="1">
        <f t="shared" si="91"/>
        <v>0</v>
      </c>
      <c r="G260" s="1">
        <f t="shared" si="91"/>
        <v>0</v>
      </c>
      <c r="H260" s="1">
        <f t="shared" si="91"/>
        <v>0</v>
      </c>
      <c r="I260" s="1">
        <f t="shared" si="91"/>
        <v>0</v>
      </c>
      <c r="J260" s="36"/>
    </row>
    <row r="261" spans="1:10" x14ac:dyDescent="0.25">
      <c r="A261" s="33">
        <v>178</v>
      </c>
      <c r="B261" s="9" t="s">
        <v>10</v>
      </c>
      <c r="C261" s="1">
        <f>SUM(D261:I261)</f>
        <v>0</v>
      </c>
      <c r="D261" s="1">
        <f t="shared" ref="D261:I263" si="92">D267+D273</f>
        <v>0</v>
      </c>
      <c r="E261" s="1">
        <f t="shared" si="92"/>
        <v>0</v>
      </c>
      <c r="F261" s="1">
        <f t="shared" si="92"/>
        <v>0</v>
      </c>
      <c r="G261" s="1">
        <f t="shared" si="92"/>
        <v>0</v>
      </c>
      <c r="H261" s="1">
        <f t="shared" si="92"/>
        <v>0</v>
      </c>
      <c r="I261" s="1">
        <f t="shared" si="92"/>
        <v>0</v>
      </c>
      <c r="J261" s="36"/>
    </row>
    <row r="262" spans="1:10" x14ac:dyDescent="0.25">
      <c r="A262" s="33">
        <v>179</v>
      </c>
      <c r="B262" s="9" t="s">
        <v>11</v>
      </c>
      <c r="C262" s="1">
        <f>SUM(D262:I262)</f>
        <v>520000</v>
      </c>
      <c r="D262" s="1">
        <f t="shared" si="92"/>
        <v>50000</v>
      </c>
      <c r="E262" s="1">
        <f t="shared" si="92"/>
        <v>50000</v>
      </c>
      <c r="F262" s="1">
        <f t="shared" si="92"/>
        <v>0</v>
      </c>
      <c r="G262" s="1">
        <f t="shared" si="92"/>
        <v>380000</v>
      </c>
      <c r="H262" s="1">
        <f t="shared" si="92"/>
        <v>20000</v>
      </c>
      <c r="I262" s="1">
        <f t="shared" si="92"/>
        <v>20000</v>
      </c>
      <c r="J262" s="36"/>
    </row>
    <row r="263" spans="1:10" x14ac:dyDescent="0.25">
      <c r="A263" s="33">
        <v>180</v>
      </c>
      <c r="B263" s="9" t="s">
        <v>12</v>
      </c>
      <c r="C263" s="1">
        <f>SUM(D263:I263)</f>
        <v>0</v>
      </c>
      <c r="D263" s="1">
        <f t="shared" si="92"/>
        <v>0</v>
      </c>
      <c r="E263" s="1">
        <f t="shared" si="92"/>
        <v>0</v>
      </c>
      <c r="F263" s="1">
        <f t="shared" si="92"/>
        <v>0</v>
      </c>
      <c r="G263" s="1">
        <f t="shared" si="92"/>
        <v>0</v>
      </c>
      <c r="H263" s="1">
        <f t="shared" si="92"/>
        <v>0</v>
      </c>
      <c r="I263" s="1">
        <f t="shared" si="92"/>
        <v>0</v>
      </c>
      <c r="J263" s="36"/>
    </row>
    <row r="264" spans="1:10" x14ac:dyDescent="0.25">
      <c r="A264" s="33">
        <v>181</v>
      </c>
      <c r="B264" s="203" t="s">
        <v>60</v>
      </c>
      <c r="C264" s="204"/>
      <c r="D264" s="204"/>
      <c r="E264" s="204"/>
      <c r="F264" s="204"/>
      <c r="G264" s="204"/>
      <c r="H264" s="204"/>
      <c r="I264" s="204"/>
      <c r="J264" s="205"/>
    </row>
    <row r="265" spans="1:10" ht="25.5" x14ac:dyDescent="0.25">
      <c r="A265" s="33">
        <v>182</v>
      </c>
      <c r="B265" s="16" t="s">
        <v>62</v>
      </c>
      <c r="C265" s="3">
        <f>SUM(D265:I265)</f>
        <v>0</v>
      </c>
      <c r="D265" s="3">
        <f>SUM(D266:D269)</f>
        <v>0</v>
      </c>
      <c r="E265" s="3">
        <f t="shared" ref="E265:I265" si="93">SUM(E266:E269)</f>
        <v>0</v>
      </c>
      <c r="F265" s="3">
        <f t="shared" si="93"/>
        <v>0</v>
      </c>
      <c r="G265" s="3">
        <f t="shared" si="93"/>
        <v>0</v>
      </c>
      <c r="H265" s="3">
        <f t="shared" si="93"/>
        <v>0</v>
      </c>
      <c r="I265" s="3">
        <f t="shared" si="93"/>
        <v>0</v>
      </c>
      <c r="J265" s="36"/>
    </row>
    <row r="266" spans="1:10" x14ac:dyDescent="0.25">
      <c r="A266" s="33">
        <v>183</v>
      </c>
      <c r="B266" s="9" t="s">
        <v>59</v>
      </c>
      <c r="C266" s="1">
        <f>SUM(D266:I266)</f>
        <v>0</v>
      </c>
      <c r="D266" s="1">
        <v>0</v>
      </c>
      <c r="E266" s="1">
        <v>0</v>
      </c>
      <c r="F266" s="1">
        <v>0</v>
      </c>
      <c r="G266" s="1">
        <v>0</v>
      </c>
      <c r="H266" s="1">
        <v>0</v>
      </c>
      <c r="I266" s="1">
        <v>0</v>
      </c>
      <c r="J266" s="36"/>
    </row>
    <row r="267" spans="1:10" x14ac:dyDescent="0.25">
      <c r="A267" s="33">
        <v>184</v>
      </c>
      <c r="B267" s="17" t="s">
        <v>10</v>
      </c>
      <c r="C267" s="1">
        <f>SUM(D267:I267)</f>
        <v>0</v>
      </c>
      <c r="D267" s="1">
        <v>0</v>
      </c>
      <c r="E267" s="1">
        <v>0</v>
      </c>
      <c r="F267" s="1">
        <v>0</v>
      </c>
      <c r="G267" s="1">
        <v>0</v>
      </c>
      <c r="H267" s="1">
        <v>0</v>
      </c>
      <c r="I267" s="1">
        <v>0</v>
      </c>
      <c r="J267" s="36"/>
    </row>
    <row r="268" spans="1:10" x14ac:dyDescent="0.25">
      <c r="A268" s="33">
        <v>185</v>
      </c>
      <c r="B268" s="17" t="s">
        <v>11</v>
      </c>
      <c r="C268" s="1">
        <f>SUM(D268:I268)</f>
        <v>0</v>
      </c>
      <c r="D268" s="1">
        <v>0</v>
      </c>
      <c r="E268" s="1">
        <v>0</v>
      </c>
      <c r="F268" s="1">
        <v>0</v>
      </c>
      <c r="G268" s="1">
        <v>0</v>
      </c>
      <c r="H268" s="1">
        <v>0</v>
      </c>
      <c r="I268" s="1">
        <v>0</v>
      </c>
      <c r="J268" s="36"/>
    </row>
    <row r="269" spans="1:10" x14ac:dyDescent="0.25">
      <c r="A269" s="33">
        <v>186</v>
      </c>
      <c r="B269" s="17" t="s">
        <v>12</v>
      </c>
      <c r="C269" s="1">
        <f>SUM(D269:I269)</f>
        <v>0</v>
      </c>
      <c r="D269" s="1">
        <v>0</v>
      </c>
      <c r="E269" s="1">
        <v>0</v>
      </c>
      <c r="F269" s="1">
        <v>0</v>
      </c>
      <c r="G269" s="1">
        <v>0</v>
      </c>
      <c r="H269" s="1">
        <v>0</v>
      </c>
      <c r="I269" s="1">
        <v>0</v>
      </c>
      <c r="J269" s="36"/>
    </row>
    <row r="270" spans="1:10" x14ac:dyDescent="0.25">
      <c r="A270" s="33">
        <v>187</v>
      </c>
      <c r="B270" s="203" t="s">
        <v>22</v>
      </c>
      <c r="C270" s="204"/>
      <c r="D270" s="204"/>
      <c r="E270" s="204"/>
      <c r="F270" s="204"/>
      <c r="G270" s="204"/>
      <c r="H270" s="204"/>
      <c r="I270" s="204"/>
      <c r="J270" s="205"/>
    </row>
    <row r="271" spans="1:10" ht="25.5" x14ac:dyDescent="0.25">
      <c r="A271" s="33">
        <v>188</v>
      </c>
      <c r="B271" s="13" t="s">
        <v>23</v>
      </c>
      <c r="C271" s="3">
        <f t="shared" ref="C271:C275" si="94">SUM(D271:I271)</f>
        <v>520000</v>
      </c>
      <c r="D271" s="3">
        <f>SUM(D272:D275)</f>
        <v>50000</v>
      </c>
      <c r="E271" s="3">
        <f t="shared" ref="E271:I271" si="95">SUM(E272:E275)</f>
        <v>50000</v>
      </c>
      <c r="F271" s="3">
        <f t="shared" si="95"/>
        <v>0</v>
      </c>
      <c r="G271" s="3">
        <f t="shared" si="95"/>
        <v>380000</v>
      </c>
      <c r="H271" s="3">
        <f t="shared" si="95"/>
        <v>20000</v>
      </c>
      <c r="I271" s="3">
        <f t="shared" si="95"/>
        <v>20000</v>
      </c>
      <c r="J271" s="36"/>
    </row>
    <row r="272" spans="1:10" x14ac:dyDescent="0.25">
      <c r="A272" s="33">
        <v>189</v>
      </c>
      <c r="B272" s="9" t="s">
        <v>59</v>
      </c>
      <c r="C272" s="1">
        <f t="shared" si="94"/>
        <v>0</v>
      </c>
      <c r="D272" s="1">
        <f t="shared" ref="D272:I274" si="96">D277+D290+D295+D300+D305</f>
        <v>0</v>
      </c>
      <c r="E272" s="1">
        <f t="shared" si="96"/>
        <v>0</v>
      </c>
      <c r="F272" s="1">
        <f t="shared" si="96"/>
        <v>0</v>
      </c>
      <c r="G272" s="1">
        <f t="shared" si="96"/>
        <v>0</v>
      </c>
      <c r="H272" s="1">
        <f t="shared" si="96"/>
        <v>0</v>
      </c>
      <c r="I272" s="1">
        <f t="shared" si="96"/>
        <v>0</v>
      </c>
      <c r="J272" s="36"/>
    </row>
    <row r="273" spans="1:10" x14ac:dyDescent="0.25">
      <c r="A273" s="33">
        <v>190</v>
      </c>
      <c r="B273" s="9" t="s">
        <v>10</v>
      </c>
      <c r="C273" s="1">
        <f t="shared" si="94"/>
        <v>0</v>
      </c>
      <c r="D273" s="1">
        <f t="shared" si="96"/>
        <v>0</v>
      </c>
      <c r="E273" s="1">
        <f t="shared" si="96"/>
        <v>0</v>
      </c>
      <c r="F273" s="1">
        <f t="shared" si="96"/>
        <v>0</v>
      </c>
      <c r="G273" s="1">
        <f t="shared" si="96"/>
        <v>0</v>
      </c>
      <c r="H273" s="1">
        <f t="shared" si="96"/>
        <v>0</v>
      </c>
      <c r="I273" s="1">
        <f t="shared" si="96"/>
        <v>0</v>
      </c>
      <c r="J273" s="36"/>
    </row>
    <row r="274" spans="1:10" x14ac:dyDescent="0.25">
      <c r="A274" s="33">
        <v>191</v>
      </c>
      <c r="B274" s="9" t="s">
        <v>11</v>
      </c>
      <c r="C274" s="1">
        <f t="shared" si="94"/>
        <v>520000</v>
      </c>
      <c r="D274" s="1">
        <f>D279+D292+D297+D302+D307</f>
        <v>50000</v>
      </c>
      <c r="E274" s="1">
        <f t="shared" si="96"/>
        <v>50000</v>
      </c>
      <c r="F274" s="1">
        <f t="shared" si="96"/>
        <v>0</v>
      </c>
      <c r="G274" s="1">
        <f t="shared" si="96"/>
        <v>380000</v>
      </c>
      <c r="H274" s="1">
        <f t="shared" si="96"/>
        <v>20000</v>
      </c>
      <c r="I274" s="1">
        <f t="shared" si="96"/>
        <v>20000</v>
      </c>
      <c r="J274" s="36"/>
    </row>
    <row r="275" spans="1:10" x14ac:dyDescent="0.25">
      <c r="A275" s="33">
        <v>192</v>
      </c>
      <c r="B275" s="9" t="s">
        <v>12</v>
      </c>
      <c r="C275" s="1">
        <f t="shared" si="94"/>
        <v>0</v>
      </c>
      <c r="D275" s="1">
        <f t="shared" ref="D275:I275" si="97">D280+D293+D298+D303+D308</f>
        <v>0</v>
      </c>
      <c r="E275" s="1">
        <f t="shared" si="97"/>
        <v>0</v>
      </c>
      <c r="F275" s="1">
        <f t="shared" si="97"/>
        <v>0</v>
      </c>
      <c r="G275" s="1">
        <f t="shared" si="97"/>
        <v>0</v>
      </c>
      <c r="H275" s="1">
        <f t="shared" si="97"/>
        <v>0</v>
      </c>
      <c r="I275" s="1">
        <f t="shared" si="97"/>
        <v>0</v>
      </c>
      <c r="J275" s="36"/>
    </row>
    <row r="276" spans="1:10" ht="94.5" x14ac:dyDescent="0.25">
      <c r="A276" s="33">
        <v>193</v>
      </c>
      <c r="B276" s="11" t="s">
        <v>94</v>
      </c>
      <c r="C276" s="2">
        <f t="shared" ref="C276" si="98">SUM(D276:I276)</f>
        <v>50000</v>
      </c>
      <c r="D276" s="2">
        <f>SUM(D277:D280)</f>
        <v>50000</v>
      </c>
      <c r="E276" s="2">
        <f t="shared" ref="E276:I276" si="99">SUM(E277:E280)</f>
        <v>0</v>
      </c>
      <c r="F276" s="2">
        <f t="shared" si="99"/>
        <v>0</v>
      </c>
      <c r="G276" s="2">
        <f t="shared" si="99"/>
        <v>0</v>
      </c>
      <c r="H276" s="2">
        <f t="shared" si="99"/>
        <v>0</v>
      </c>
      <c r="I276" s="2">
        <f t="shared" si="99"/>
        <v>0</v>
      </c>
      <c r="J276" s="36" t="s">
        <v>74</v>
      </c>
    </row>
    <row r="277" spans="1:10" x14ac:dyDescent="0.25">
      <c r="A277" s="33">
        <v>194</v>
      </c>
      <c r="B277" s="9" t="s">
        <v>59</v>
      </c>
      <c r="C277" s="9">
        <f t="shared" ref="C277:C308" si="100">SUM(D277:I277)</f>
        <v>0</v>
      </c>
      <c r="D277" s="9">
        <v>0</v>
      </c>
      <c r="E277" s="9">
        <v>0</v>
      </c>
      <c r="F277" s="9">
        <v>0</v>
      </c>
      <c r="G277" s="9">
        <v>0</v>
      </c>
      <c r="H277" s="9">
        <v>0</v>
      </c>
      <c r="I277" s="9">
        <v>0</v>
      </c>
      <c r="J277" s="36"/>
    </row>
    <row r="278" spans="1:10" x14ac:dyDescent="0.25">
      <c r="A278" s="33">
        <v>195</v>
      </c>
      <c r="B278" s="9" t="s">
        <v>10</v>
      </c>
      <c r="C278" s="9">
        <f t="shared" si="100"/>
        <v>0</v>
      </c>
      <c r="D278" s="9">
        <v>0</v>
      </c>
      <c r="E278" s="9">
        <v>0</v>
      </c>
      <c r="F278" s="9">
        <v>0</v>
      </c>
      <c r="G278" s="9">
        <v>0</v>
      </c>
      <c r="H278" s="9">
        <v>0</v>
      </c>
      <c r="I278" s="9">
        <v>0</v>
      </c>
      <c r="J278" s="36"/>
    </row>
    <row r="279" spans="1:10" x14ac:dyDescent="0.25">
      <c r="A279" s="33">
        <v>196</v>
      </c>
      <c r="B279" s="9" t="s">
        <v>11</v>
      </c>
      <c r="C279" s="9">
        <f t="shared" si="100"/>
        <v>50000</v>
      </c>
      <c r="D279" s="9">
        <v>50000</v>
      </c>
      <c r="E279" s="9">
        <v>0</v>
      </c>
      <c r="F279" s="9">
        <v>0</v>
      </c>
      <c r="G279" s="9">
        <v>0</v>
      </c>
      <c r="H279" s="9">
        <v>0</v>
      </c>
      <c r="I279" s="9">
        <v>0</v>
      </c>
      <c r="J279" s="36"/>
    </row>
    <row r="280" spans="1:10" x14ac:dyDescent="0.25">
      <c r="A280" s="33">
        <v>197</v>
      </c>
      <c r="B280" s="9" t="s">
        <v>12</v>
      </c>
      <c r="C280" s="9">
        <f t="shared" si="100"/>
        <v>0</v>
      </c>
      <c r="D280" s="9">
        <v>0</v>
      </c>
      <c r="E280" s="9">
        <v>0</v>
      </c>
      <c r="F280" s="9">
        <v>0</v>
      </c>
      <c r="G280" s="9">
        <v>0</v>
      </c>
      <c r="H280" s="9">
        <v>0</v>
      </c>
      <c r="I280" s="9">
        <v>0</v>
      </c>
      <c r="J280" s="36"/>
    </row>
    <row r="281" spans="1:10" ht="89.25" hidden="1" x14ac:dyDescent="0.25">
      <c r="A281" s="33"/>
      <c r="B281" s="9" t="s">
        <v>41</v>
      </c>
      <c r="C281" s="1">
        <f t="shared" si="100"/>
        <v>8500</v>
      </c>
      <c r="D281" s="1">
        <f t="shared" ref="D281:I281" si="101">SUM(D282:D284)</f>
        <v>1500</v>
      </c>
      <c r="E281" s="1">
        <f t="shared" si="101"/>
        <v>1500</v>
      </c>
      <c r="F281" s="1">
        <f t="shared" si="101"/>
        <v>2000</v>
      </c>
      <c r="G281" s="1">
        <f t="shared" si="101"/>
        <v>1500</v>
      </c>
      <c r="H281" s="1">
        <f t="shared" si="101"/>
        <v>2000</v>
      </c>
      <c r="I281" s="1">
        <f t="shared" si="101"/>
        <v>0</v>
      </c>
      <c r="J281" s="36"/>
    </row>
    <row r="282" spans="1:10" hidden="1" x14ac:dyDescent="0.25">
      <c r="A282" s="33"/>
      <c r="B282" s="9" t="s">
        <v>10</v>
      </c>
      <c r="C282" s="1">
        <f t="shared" si="100"/>
        <v>0</v>
      </c>
      <c r="D282" s="1"/>
      <c r="E282" s="1"/>
      <c r="F282" s="1"/>
      <c r="G282" s="1"/>
      <c r="H282" s="1"/>
      <c r="I282" s="1"/>
      <c r="J282" s="36"/>
    </row>
    <row r="283" spans="1:10" hidden="1" x14ac:dyDescent="0.25">
      <c r="A283" s="33"/>
      <c r="B283" s="9" t="s">
        <v>11</v>
      </c>
      <c r="C283" s="1">
        <f t="shared" si="100"/>
        <v>8500</v>
      </c>
      <c r="D283" s="1">
        <v>1500</v>
      </c>
      <c r="E283" s="1">
        <v>1500</v>
      </c>
      <c r="F283" s="1">
        <v>2000</v>
      </c>
      <c r="G283" s="1">
        <v>1500</v>
      </c>
      <c r="H283" s="1">
        <v>2000</v>
      </c>
      <c r="I283" s="1"/>
      <c r="J283" s="36"/>
    </row>
    <row r="284" spans="1:10" hidden="1" x14ac:dyDescent="0.25">
      <c r="A284" s="33"/>
      <c r="B284" s="9" t="s">
        <v>12</v>
      </c>
      <c r="C284" s="1">
        <f t="shared" si="100"/>
        <v>0</v>
      </c>
      <c r="D284" s="1"/>
      <c r="E284" s="1"/>
      <c r="F284" s="1"/>
      <c r="G284" s="1"/>
      <c r="H284" s="1"/>
      <c r="I284" s="1"/>
      <c r="J284" s="36"/>
    </row>
    <row r="285" spans="1:10" ht="102" hidden="1" x14ac:dyDescent="0.25">
      <c r="A285" s="33"/>
      <c r="B285" s="9" t="s">
        <v>42</v>
      </c>
      <c r="C285" s="1">
        <f t="shared" si="100"/>
        <v>2400</v>
      </c>
      <c r="D285" s="1">
        <f t="shared" ref="D285:I285" si="102">SUM(D286:D287)</f>
        <v>300</v>
      </c>
      <c r="E285" s="1">
        <f t="shared" si="102"/>
        <v>350</v>
      </c>
      <c r="F285" s="1">
        <f t="shared" si="102"/>
        <v>1250</v>
      </c>
      <c r="G285" s="1">
        <f t="shared" si="102"/>
        <v>500</v>
      </c>
      <c r="H285" s="3">
        <f t="shared" si="102"/>
        <v>0</v>
      </c>
      <c r="I285" s="3">
        <f t="shared" si="102"/>
        <v>0</v>
      </c>
      <c r="J285" s="36"/>
    </row>
    <row r="286" spans="1:10" hidden="1" x14ac:dyDescent="0.25">
      <c r="A286" s="33"/>
      <c r="B286" s="9" t="s">
        <v>10</v>
      </c>
      <c r="C286" s="3">
        <f t="shared" si="100"/>
        <v>0</v>
      </c>
      <c r="D286" s="1"/>
      <c r="E286" s="1"/>
      <c r="F286" s="1"/>
      <c r="G286" s="1"/>
      <c r="H286" s="1"/>
      <c r="I286" s="1"/>
      <c r="J286" s="36"/>
    </row>
    <row r="287" spans="1:10" hidden="1" x14ac:dyDescent="0.25">
      <c r="A287" s="33"/>
      <c r="B287" s="9" t="s">
        <v>11</v>
      </c>
      <c r="C287" s="1">
        <f t="shared" si="100"/>
        <v>2400</v>
      </c>
      <c r="D287" s="1">
        <v>300</v>
      </c>
      <c r="E287" s="1">
        <v>350</v>
      </c>
      <c r="F287" s="1">
        <v>1250</v>
      </c>
      <c r="G287" s="1">
        <v>500</v>
      </c>
      <c r="H287" s="1"/>
      <c r="I287" s="1"/>
      <c r="J287" s="36"/>
    </row>
    <row r="288" spans="1:10" hidden="1" x14ac:dyDescent="0.25">
      <c r="A288" s="33"/>
      <c r="B288" s="9" t="s">
        <v>12</v>
      </c>
      <c r="C288" s="1">
        <f t="shared" si="100"/>
        <v>0</v>
      </c>
      <c r="D288" s="1"/>
      <c r="E288" s="1"/>
      <c r="F288" s="1"/>
      <c r="G288" s="1"/>
      <c r="H288" s="1"/>
      <c r="I288" s="1"/>
      <c r="J288" s="36"/>
    </row>
    <row r="289" spans="1:10" ht="67.5" x14ac:dyDescent="0.25">
      <c r="A289" s="33">
        <v>198</v>
      </c>
      <c r="B289" s="11" t="s">
        <v>95</v>
      </c>
      <c r="C289" s="2">
        <f t="shared" si="100"/>
        <v>300000</v>
      </c>
      <c r="D289" s="2">
        <f t="shared" ref="D289:I289" si="103">SUM(D291:D293)</f>
        <v>0</v>
      </c>
      <c r="E289" s="2">
        <f t="shared" si="103"/>
        <v>0</v>
      </c>
      <c r="F289" s="2">
        <f t="shared" si="103"/>
        <v>0</v>
      </c>
      <c r="G289" s="2">
        <f t="shared" si="103"/>
        <v>300000</v>
      </c>
      <c r="H289" s="2">
        <f t="shared" si="103"/>
        <v>0</v>
      </c>
      <c r="I289" s="2">
        <f t="shared" si="103"/>
        <v>0</v>
      </c>
      <c r="J289" s="36" t="s">
        <v>74</v>
      </c>
    </row>
    <row r="290" spans="1:10" x14ac:dyDescent="0.25">
      <c r="A290" s="33">
        <v>199</v>
      </c>
      <c r="B290" s="9" t="s">
        <v>59</v>
      </c>
      <c r="C290" s="9">
        <f t="shared" si="100"/>
        <v>0</v>
      </c>
      <c r="D290" s="9">
        <v>0</v>
      </c>
      <c r="E290" s="9">
        <v>0</v>
      </c>
      <c r="F290" s="9">
        <v>0</v>
      </c>
      <c r="G290" s="9">
        <v>0</v>
      </c>
      <c r="H290" s="9">
        <v>0</v>
      </c>
      <c r="I290" s="9">
        <v>0</v>
      </c>
      <c r="J290" s="36"/>
    </row>
    <row r="291" spans="1:10" x14ac:dyDescent="0.25">
      <c r="A291" s="33">
        <v>200</v>
      </c>
      <c r="B291" s="9" t="s">
        <v>10</v>
      </c>
      <c r="C291" s="9">
        <f t="shared" si="100"/>
        <v>0</v>
      </c>
      <c r="D291" s="9"/>
      <c r="E291" s="9">
        <v>0</v>
      </c>
      <c r="F291" s="9">
        <v>0</v>
      </c>
      <c r="G291" s="9">
        <v>0</v>
      </c>
      <c r="H291" s="9">
        <v>0</v>
      </c>
      <c r="I291" s="9">
        <v>0</v>
      </c>
      <c r="J291" s="36"/>
    </row>
    <row r="292" spans="1:10" x14ac:dyDescent="0.25">
      <c r="A292" s="33">
        <v>201</v>
      </c>
      <c r="B292" s="9" t="s">
        <v>11</v>
      </c>
      <c r="C292" s="9">
        <f t="shared" si="100"/>
        <v>300000</v>
      </c>
      <c r="D292" s="9">
        <v>0</v>
      </c>
      <c r="E292" s="9">
        <v>0</v>
      </c>
      <c r="F292" s="9">
        <v>0</v>
      </c>
      <c r="G292" s="9">
        <v>300000</v>
      </c>
      <c r="H292" s="9">
        <v>0</v>
      </c>
      <c r="I292" s="9">
        <v>0</v>
      </c>
      <c r="J292" s="36"/>
    </row>
    <row r="293" spans="1:10" x14ac:dyDescent="0.25">
      <c r="A293" s="33">
        <v>202</v>
      </c>
      <c r="B293" s="9" t="s">
        <v>12</v>
      </c>
      <c r="C293" s="9">
        <f t="shared" si="100"/>
        <v>0</v>
      </c>
      <c r="D293" s="9">
        <v>0</v>
      </c>
      <c r="E293" s="9">
        <v>0</v>
      </c>
      <c r="F293" s="9">
        <v>0</v>
      </c>
      <c r="G293" s="9">
        <v>0</v>
      </c>
      <c r="H293" s="9">
        <v>0</v>
      </c>
      <c r="I293" s="9">
        <v>0</v>
      </c>
      <c r="J293" s="36"/>
    </row>
    <row r="294" spans="1:10" ht="54" x14ac:dyDescent="0.25">
      <c r="A294" s="33">
        <v>203</v>
      </c>
      <c r="B294" s="11" t="s">
        <v>96</v>
      </c>
      <c r="C294" s="2">
        <f t="shared" si="100"/>
        <v>110000</v>
      </c>
      <c r="D294" s="2">
        <f t="shared" ref="D294:I294" si="104">SUM(D296:D298)</f>
        <v>0</v>
      </c>
      <c r="E294" s="2">
        <f t="shared" si="104"/>
        <v>50000</v>
      </c>
      <c r="F294" s="2">
        <f t="shared" si="104"/>
        <v>0</v>
      </c>
      <c r="G294" s="2">
        <f t="shared" si="104"/>
        <v>20000</v>
      </c>
      <c r="H294" s="2">
        <f t="shared" si="104"/>
        <v>20000</v>
      </c>
      <c r="I294" s="2">
        <f t="shared" si="104"/>
        <v>20000</v>
      </c>
      <c r="J294" s="36" t="s">
        <v>74</v>
      </c>
    </row>
    <row r="295" spans="1:10" x14ac:dyDescent="0.25">
      <c r="A295" s="33">
        <v>204</v>
      </c>
      <c r="B295" s="9" t="s">
        <v>59</v>
      </c>
      <c r="C295" s="1">
        <f t="shared" si="100"/>
        <v>0</v>
      </c>
      <c r="D295" s="1">
        <v>0</v>
      </c>
      <c r="E295" s="1">
        <v>0</v>
      </c>
      <c r="F295" s="1">
        <v>0</v>
      </c>
      <c r="G295" s="1">
        <v>0</v>
      </c>
      <c r="H295" s="1">
        <v>0</v>
      </c>
      <c r="I295" s="1">
        <v>0</v>
      </c>
      <c r="J295" s="36"/>
    </row>
    <row r="296" spans="1:10" x14ac:dyDescent="0.25">
      <c r="A296" s="33">
        <v>205</v>
      </c>
      <c r="B296" s="9" t="s">
        <v>10</v>
      </c>
      <c r="C296" s="1">
        <f t="shared" si="100"/>
        <v>0</v>
      </c>
      <c r="D296" s="9">
        <v>0</v>
      </c>
      <c r="E296" s="9">
        <v>0</v>
      </c>
      <c r="F296" s="9">
        <v>0</v>
      </c>
      <c r="G296" s="9">
        <v>0</v>
      </c>
      <c r="H296" s="9">
        <v>0</v>
      </c>
      <c r="I296" s="9">
        <v>0</v>
      </c>
      <c r="J296" s="36"/>
    </row>
    <row r="297" spans="1:10" x14ac:dyDescent="0.25">
      <c r="A297" s="33">
        <v>206</v>
      </c>
      <c r="B297" s="9" t="s">
        <v>11</v>
      </c>
      <c r="C297" s="1">
        <f t="shared" si="100"/>
        <v>110000</v>
      </c>
      <c r="D297" s="1">
        <v>0</v>
      </c>
      <c r="E297" s="1">
        <v>50000</v>
      </c>
      <c r="F297" s="1">
        <v>0</v>
      </c>
      <c r="G297" s="1">
        <v>20000</v>
      </c>
      <c r="H297" s="1">
        <v>20000</v>
      </c>
      <c r="I297" s="1">
        <v>20000</v>
      </c>
      <c r="J297" s="36"/>
    </row>
    <row r="298" spans="1:10" x14ac:dyDescent="0.25">
      <c r="A298" s="33">
        <v>207</v>
      </c>
      <c r="B298" s="9" t="s">
        <v>12</v>
      </c>
      <c r="C298" s="1">
        <f t="shared" si="100"/>
        <v>0</v>
      </c>
      <c r="D298" s="9">
        <v>0</v>
      </c>
      <c r="E298" s="9">
        <v>0</v>
      </c>
      <c r="F298" s="9">
        <v>0</v>
      </c>
      <c r="G298" s="9">
        <v>0</v>
      </c>
      <c r="H298" s="9">
        <v>0</v>
      </c>
      <c r="I298" s="9">
        <v>0</v>
      </c>
      <c r="J298" s="36"/>
    </row>
    <row r="299" spans="1:10" ht="40.5" x14ac:dyDescent="0.25">
      <c r="A299" s="33">
        <v>208</v>
      </c>
      <c r="B299" s="11" t="s">
        <v>97</v>
      </c>
      <c r="C299" s="2">
        <f t="shared" si="100"/>
        <v>50000</v>
      </c>
      <c r="D299" s="2">
        <f t="shared" ref="D299:I299" si="105">SUM(D301:D303)</f>
        <v>0</v>
      </c>
      <c r="E299" s="2">
        <f t="shared" si="105"/>
        <v>0</v>
      </c>
      <c r="F299" s="2">
        <f t="shared" si="105"/>
        <v>0</v>
      </c>
      <c r="G299" s="2">
        <f t="shared" si="105"/>
        <v>50000</v>
      </c>
      <c r="H299" s="2">
        <f t="shared" si="105"/>
        <v>0</v>
      </c>
      <c r="I299" s="2">
        <f t="shared" si="105"/>
        <v>0</v>
      </c>
      <c r="J299" s="36" t="s">
        <v>74</v>
      </c>
    </row>
    <row r="300" spans="1:10" x14ac:dyDescent="0.25">
      <c r="A300" s="33">
        <v>209</v>
      </c>
      <c r="B300" s="9" t="s">
        <v>59</v>
      </c>
      <c r="C300" s="1">
        <f t="shared" si="100"/>
        <v>0</v>
      </c>
      <c r="D300" s="1">
        <v>0</v>
      </c>
      <c r="E300" s="1">
        <v>0</v>
      </c>
      <c r="F300" s="1">
        <v>0</v>
      </c>
      <c r="G300" s="1">
        <v>0</v>
      </c>
      <c r="H300" s="1">
        <v>0</v>
      </c>
      <c r="I300" s="1">
        <v>0</v>
      </c>
      <c r="J300" s="36"/>
    </row>
    <row r="301" spans="1:10" x14ac:dyDescent="0.25">
      <c r="A301" s="33">
        <v>210</v>
      </c>
      <c r="B301" s="9" t="s">
        <v>10</v>
      </c>
      <c r="C301" s="1">
        <f t="shared" si="100"/>
        <v>0</v>
      </c>
      <c r="D301" s="1">
        <v>0</v>
      </c>
      <c r="E301" s="1">
        <v>0</v>
      </c>
      <c r="F301" s="1">
        <v>0</v>
      </c>
      <c r="G301" s="1">
        <v>0</v>
      </c>
      <c r="H301" s="1">
        <v>0</v>
      </c>
      <c r="I301" s="1">
        <v>0</v>
      </c>
      <c r="J301" s="36"/>
    </row>
    <row r="302" spans="1:10" x14ac:dyDescent="0.25">
      <c r="A302" s="33">
        <v>211</v>
      </c>
      <c r="B302" s="9" t="s">
        <v>11</v>
      </c>
      <c r="C302" s="1">
        <f t="shared" si="100"/>
        <v>50000</v>
      </c>
      <c r="D302" s="1">
        <v>0</v>
      </c>
      <c r="E302" s="1">
        <v>0</v>
      </c>
      <c r="F302" s="1">
        <v>0</v>
      </c>
      <c r="G302" s="1">
        <v>50000</v>
      </c>
      <c r="H302" s="1">
        <v>0</v>
      </c>
      <c r="I302" s="1">
        <v>0</v>
      </c>
      <c r="J302" s="9"/>
    </row>
    <row r="303" spans="1:10" x14ac:dyDescent="0.25">
      <c r="A303" s="33">
        <v>212</v>
      </c>
      <c r="B303" s="9" t="s">
        <v>12</v>
      </c>
      <c r="C303" s="1">
        <f t="shared" si="100"/>
        <v>0</v>
      </c>
      <c r="D303" s="1"/>
      <c r="E303" s="1"/>
      <c r="F303" s="1"/>
      <c r="G303" s="1"/>
      <c r="H303" s="1"/>
      <c r="I303" s="1"/>
      <c r="J303" s="9"/>
    </row>
    <row r="304" spans="1:10" ht="40.5" x14ac:dyDescent="0.25">
      <c r="A304" s="33">
        <v>213</v>
      </c>
      <c r="B304" s="11" t="s">
        <v>98</v>
      </c>
      <c r="C304" s="2">
        <f t="shared" si="100"/>
        <v>10000</v>
      </c>
      <c r="D304" s="2">
        <f t="shared" ref="D304:I304" si="106">SUM(D306:D308)</f>
        <v>0</v>
      </c>
      <c r="E304" s="2">
        <f t="shared" si="106"/>
        <v>0</v>
      </c>
      <c r="F304" s="2">
        <f t="shared" si="106"/>
        <v>0</v>
      </c>
      <c r="G304" s="2">
        <f t="shared" si="106"/>
        <v>10000</v>
      </c>
      <c r="H304" s="2">
        <f t="shared" si="106"/>
        <v>0</v>
      </c>
      <c r="I304" s="2">
        <f t="shared" si="106"/>
        <v>0</v>
      </c>
      <c r="J304" s="36" t="s">
        <v>74</v>
      </c>
    </row>
    <row r="305" spans="1:10" x14ac:dyDescent="0.25">
      <c r="A305" s="33">
        <v>214</v>
      </c>
      <c r="B305" s="9" t="s">
        <v>59</v>
      </c>
      <c r="C305" s="1">
        <f t="shared" si="100"/>
        <v>0</v>
      </c>
      <c r="D305" s="1">
        <v>0</v>
      </c>
      <c r="E305" s="1">
        <v>0</v>
      </c>
      <c r="F305" s="1">
        <v>0</v>
      </c>
      <c r="G305" s="1">
        <v>0</v>
      </c>
      <c r="H305" s="1">
        <v>0</v>
      </c>
      <c r="I305" s="1">
        <v>0</v>
      </c>
      <c r="J305" s="9"/>
    </row>
    <row r="306" spans="1:10" x14ac:dyDescent="0.25">
      <c r="A306" s="33">
        <v>215</v>
      </c>
      <c r="B306" s="9" t="s">
        <v>10</v>
      </c>
      <c r="C306" s="1">
        <f t="shared" si="100"/>
        <v>0</v>
      </c>
      <c r="D306" s="1">
        <v>0</v>
      </c>
      <c r="E306" s="1">
        <v>0</v>
      </c>
      <c r="F306" s="1">
        <v>0</v>
      </c>
      <c r="G306" s="1">
        <v>0</v>
      </c>
      <c r="H306" s="1">
        <v>0</v>
      </c>
      <c r="I306" s="1">
        <v>0</v>
      </c>
      <c r="J306" s="9"/>
    </row>
    <row r="307" spans="1:10" x14ac:dyDescent="0.25">
      <c r="A307" s="33">
        <v>216</v>
      </c>
      <c r="B307" s="9" t="s">
        <v>11</v>
      </c>
      <c r="C307" s="1">
        <f t="shared" si="100"/>
        <v>10000</v>
      </c>
      <c r="D307" s="1">
        <v>0</v>
      </c>
      <c r="E307" s="1">
        <v>0</v>
      </c>
      <c r="F307" s="1">
        <v>0</v>
      </c>
      <c r="G307" s="1">
        <v>10000</v>
      </c>
      <c r="H307" s="1">
        <v>0</v>
      </c>
      <c r="I307" s="1">
        <v>0</v>
      </c>
      <c r="J307" s="9"/>
    </row>
    <row r="308" spans="1:10" x14ac:dyDescent="0.25">
      <c r="A308" s="33">
        <v>217</v>
      </c>
      <c r="B308" s="9" t="s">
        <v>12</v>
      </c>
      <c r="C308" s="1">
        <f t="shared" si="100"/>
        <v>0</v>
      </c>
      <c r="D308" s="9">
        <v>0</v>
      </c>
      <c r="E308" s="9">
        <v>0</v>
      </c>
      <c r="F308" s="9">
        <v>0</v>
      </c>
      <c r="G308" s="9">
        <v>0</v>
      </c>
      <c r="H308" s="9">
        <v>0</v>
      </c>
      <c r="I308" s="9">
        <v>0</v>
      </c>
      <c r="J308" s="9"/>
    </row>
    <row r="309" spans="1:10" x14ac:dyDescent="0.25">
      <c r="A309" s="33">
        <v>218</v>
      </c>
      <c r="B309" s="206" t="s">
        <v>16</v>
      </c>
      <c r="C309" s="207"/>
      <c r="D309" s="207"/>
      <c r="E309" s="207"/>
      <c r="F309" s="207"/>
      <c r="G309" s="207"/>
      <c r="H309" s="207"/>
      <c r="I309" s="207"/>
      <c r="J309" s="208"/>
    </row>
    <row r="310" spans="1:10" x14ac:dyDescent="0.25">
      <c r="A310" s="33">
        <v>219</v>
      </c>
      <c r="B310" s="206" t="s">
        <v>88</v>
      </c>
      <c r="C310" s="207"/>
      <c r="D310" s="207"/>
      <c r="E310" s="207"/>
      <c r="F310" s="207"/>
      <c r="G310" s="207"/>
      <c r="H310" s="207"/>
      <c r="I310" s="207"/>
      <c r="J310" s="208"/>
    </row>
    <row r="311" spans="1:10" x14ac:dyDescent="0.25">
      <c r="A311" s="33">
        <v>220</v>
      </c>
      <c r="B311" s="13" t="s">
        <v>40</v>
      </c>
      <c r="C311" s="3">
        <f>SUM(D311:I311)</f>
        <v>788311.04000000004</v>
      </c>
      <c r="D311" s="3">
        <f t="shared" ref="D311:I311" si="107">SUM(D313:D315)</f>
        <v>118000</v>
      </c>
      <c r="E311" s="3">
        <f t="shared" si="107"/>
        <v>220311.04000000001</v>
      </c>
      <c r="F311" s="3">
        <f t="shared" si="107"/>
        <v>60000</v>
      </c>
      <c r="G311" s="3">
        <f t="shared" si="107"/>
        <v>90000</v>
      </c>
      <c r="H311" s="3">
        <f t="shared" si="107"/>
        <v>200000</v>
      </c>
      <c r="I311" s="3">
        <f t="shared" si="107"/>
        <v>100000</v>
      </c>
      <c r="J311" s="9"/>
    </row>
    <row r="312" spans="1:10" x14ac:dyDescent="0.25">
      <c r="A312" s="33">
        <v>221</v>
      </c>
      <c r="B312" s="9" t="s">
        <v>59</v>
      </c>
      <c r="C312" s="1">
        <f>SUM(D312:I312)</f>
        <v>0</v>
      </c>
      <c r="D312" s="1">
        <v>0</v>
      </c>
      <c r="E312" s="1">
        <v>0</v>
      </c>
      <c r="F312" s="1">
        <v>0</v>
      </c>
      <c r="G312" s="1">
        <v>0</v>
      </c>
      <c r="H312" s="1">
        <v>0</v>
      </c>
      <c r="I312" s="1">
        <v>0</v>
      </c>
      <c r="J312" s="9"/>
    </row>
    <row r="313" spans="1:10" x14ac:dyDescent="0.25">
      <c r="A313" s="33">
        <v>222</v>
      </c>
      <c r="B313" s="9" t="s">
        <v>10</v>
      </c>
      <c r="C313" s="1">
        <f>SUM(D313:I313)</f>
        <v>0</v>
      </c>
      <c r="D313" s="1">
        <f t="shared" ref="D313:I315" si="108">D319+D325</f>
        <v>0</v>
      </c>
      <c r="E313" s="1">
        <f t="shared" si="108"/>
        <v>0</v>
      </c>
      <c r="F313" s="1">
        <f t="shared" si="108"/>
        <v>0</v>
      </c>
      <c r="G313" s="1">
        <f t="shared" si="108"/>
        <v>0</v>
      </c>
      <c r="H313" s="1">
        <f t="shared" si="108"/>
        <v>0</v>
      </c>
      <c r="I313" s="1">
        <f t="shared" si="108"/>
        <v>0</v>
      </c>
      <c r="J313" s="9"/>
    </row>
    <row r="314" spans="1:10" x14ac:dyDescent="0.25">
      <c r="A314" s="33">
        <v>223</v>
      </c>
      <c r="B314" s="9" t="s">
        <v>11</v>
      </c>
      <c r="C314" s="1">
        <f>SUM(D314:I314)</f>
        <v>788311.04000000004</v>
      </c>
      <c r="D314" s="1">
        <f t="shared" si="108"/>
        <v>118000</v>
      </c>
      <c r="E314" s="1">
        <f t="shared" si="108"/>
        <v>220311.04000000001</v>
      </c>
      <c r="F314" s="1">
        <f t="shared" si="108"/>
        <v>60000</v>
      </c>
      <c r="G314" s="1">
        <f t="shared" si="108"/>
        <v>90000</v>
      </c>
      <c r="H314" s="1">
        <f t="shared" si="108"/>
        <v>200000</v>
      </c>
      <c r="I314" s="1">
        <f t="shared" si="108"/>
        <v>100000</v>
      </c>
      <c r="J314" s="9"/>
    </row>
    <row r="315" spans="1:10" x14ac:dyDescent="0.25">
      <c r="A315" s="33">
        <v>224</v>
      </c>
      <c r="B315" s="9" t="s">
        <v>12</v>
      </c>
      <c r="C315" s="1">
        <f>SUM(D315:I315)</f>
        <v>0</v>
      </c>
      <c r="D315" s="1">
        <f t="shared" si="108"/>
        <v>0</v>
      </c>
      <c r="E315" s="1">
        <f t="shared" si="108"/>
        <v>0</v>
      </c>
      <c r="F315" s="1">
        <f t="shared" si="108"/>
        <v>0</v>
      </c>
      <c r="G315" s="1">
        <f t="shared" si="108"/>
        <v>0</v>
      </c>
      <c r="H315" s="1">
        <f t="shared" si="108"/>
        <v>0</v>
      </c>
      <c r="I315" s="1">
        <f t="shared" si="108"/>
        <v>0</v>
      </c>
      <c r="J315" s="9"/>
    </row>
    <row r="316" spans="1:10" x14ac:dyDescent="0.25">
      <c r="A316" s="33">
        <v>225</v>
      </c>
      <c r="B316" s="203" t="s">
        <v>60</v>
      </c>
      <c r="C316" s="204"/>
      <c r="D316" s="204"/>
      <c r="E316" s="204"/>
      <c r="F316" s="204"/>
      <c r="G316" s="204"/>
      <c r="H316" s="204"/>
      <c r="I316" s="204"/>
      <c r="J316" s="205"/>
    </row>
    <row r="317" spans="1:10" ht="25.5" x14ac:dyDescent="0.25">
      <c r="A317" s="33">
        <v>226</v>
      </c>
      <c r="B317" s="16" t="s">
        <v>62</v>
      </c>
      <c r="C317" s="3">
        <f>SUM(D317:I317)</f>
        <v>0</v>
      </c>
      <c r="D317" s="3">
        <f t="shared" ref="D317:I317" si="109">SUM(D319:D321)</f>
        <v>0</v>
      </c>
      <c r="E317" s="3">
        <f t="shared" si="109"/>
        <v>0</v>
      </c>
      <c r="F317" s="3">
        <f t="shared" si="109"/>
        <v>0</v>
      </c>
      <c r="G317" s="3">
        <f t="shared" si="109"/>
        <v>0</v>
      </c>
      <c r="H317" s="3">
        <f t="shared" si="109"/>
        <v>0</v>
      </c>
      <c r="I317" s="3">
        <f t="shared" si="109"/>
        <v>0</v>
      </c>
      <c r="J317" s="36"/>
    </row>
    <row r="318" spans="1:10" x14ac:dyDescent="0.25">
      <c r="A318" s="33">
        <v>227</v>
      </c>
      <c r="B318" s="9" t="s">
        <v>59</v>
      </c>
      <c r="C318" s="1">
        <f>SUM(D318:I318)</f>
        <v>0</v>
      </c>
      <c r="D318" s="1">
        <v>0</v>
      </c>
      <c r="E318" s="1">
        <v>0</v>
      </c>
      <c r="F318" s="1">
        <v>0</v>
      </c>
      <c r="G318" s="1">
        <v>0</v>
      </c>
      <c r="H318" s="1">
        <v>0</v>
      </c>
      <c r="I318" s="1">
        <v>0</v>
      </c>
      <c r="J318" s="36"/>
    </row>
    <row r="319" spans="1:10" x14ac:dyDescent="0.25">
      <c r="A319" s="33">
        <v>228</v>
      </c>
      <c r="B319" s="17" t="s">
        <v>10</v>
      </c>
      <c r="C319" s="1">
        <f>SUM(D319:I319)</f>
        <v>0</v>
      </c>
      <c r="D319" s="1">
        <v>0</v>
      </c>
      <c r="E319" s="1">
        <v>0</v>
      </c>
      <c r="F319" s="1">
        <v>0</v>
      </c>
      <c r="G319" s="1">
        <v>0</v>
      </c>
      <c r="H319" s="1">
        <v>0</v>
      </c>
      <c r="I319" s="1">
        <v>0</v>
      </c>
      <c r="J319" s="36"/>
    </row>
    <row r="320" spans="1:10" x14ac:dyDescent="0.25">
      <c r="A320" s="33">
        <v>229</v>
      </c>
      <c r="B320" s="17" t="s">
        <v>11</v>
      </c>
      <c r="C320" s="1">
        <f>SUM(D320:I320)</f>
        <v>0</v>
      </c>
      <c r="D320" s="1">
        <v>0</v>
      </c>
      <c r="E320" s="1">
        <v>0</v>
      </c>
      <c r="F320" s="1">
        <v>0</v>
      </c>
      <c r="G320" s="1">
        <v>0</v>
      </c>
      <c r="H320" s="1">
        <v>0</v>
      </c>
      <c r="I320" s="1">
        <v>0</v>
      </c>
      <c r="J320" s="36"/>
    </row>
    <row r="321" spans="1:10" x14ac:dyDescent="0.25">
      <c r="A321" s="33">
        <v>230</v>
      </c>
      <c r="B321" s="17" t="s">
        <v>12</v>
      </c>
      <c r="C321" s="1">
        <f>SUM(D321:I321)</f>
        <v>0</v>
      </c>
      <c r="D321" s="1">
        <v>0</v>
      </c>
      <c r="E321" s="1">
        <v>0</v>
      </c>
      <c r="F321" s="1">
        <v>0</v>
      </c>
      <c r="G321" s="1">
        <v>0</v>
      </c>
      <c r="H321" s="1">
        <v>0</v>
      </c>
      <c r="I321" s="1">
        <v>0</v>
      </c>
      <c r="J321" s="36"/>
    </row>
    <row r="322" spans="1:10" x14ac:dyDescent="0.25">
      <c r="A322" s="33">
        <v>231</v>
      </c>
      <c r="B322" s="203" t="s">
        <v>61</v>
      </c>
      <c r="C322" s="204"/>
      <c r="D322" s="204"/>
      <c r="E322" s="204"/>
      <c r="F322" s="204"/>
      <c r="G322" s="204"/>
      <c r="H322" s="204"/>
      <c r="I322" s="204"/>
      <c r="J322" s="205"/>
    </row>
    <row r="323" spans="1:10" ht="25.5" x14ac:dyDescent="0.25">
      <c r="A323" s="33">
        <v>232</v>
      </c>
      <c r="B323" s="13" t="s">
        <v>23</v>
      </c>
      <c r="C323" s="3">
        <f t="shared" ref="C323:C358" si="110">SUM(D323:I323)</f>
        <v>788311.04000000004</v>
      </c>
      <c r="D323" s="3">
        <f t="shared" ref="D323:I323" si="111">SUM(D325:D327)</f>
        <v>118000</v>
      </c>
      <c r="E323" s="3">
        <f t="shared" si="111"/>
        <v>220311.04000000001</v>
      </c>
      <c r="F323" s="3">
        <f t="shared" si="111"/>
        <v>60000</v>
      </c>
      <c r="G323" s="3">
        <f t="shared" si="111"/>
        <v>90000</v>
      </c>
      <c r="H323" s="3">
        <f t="shared" si="111"/>
        <v>200000</v>
      </c>
      <c r="I323" s="3">
        <f t="shared" si="111"/>
        <v>100000</v>
      </c>
      <c r="J323" s="36"/>
    </row>
    <row r="324" spans="1:10" x14ac:dyDescent="0.25">
      <c r="A324" s="33">
        <v>233</v>
      </c>
      <c r="B324" s="9" t="s">
        <v>59</v>
      </c>
      <c r="C324" s="1">
        <f t="shared" si="110"/>
        <v>0</v>
      </c>
      <c r="D324" s="1">
        <f t="shared" ref="D324:I326" si="112">D329+D350+D355</f>
        <v>0</v>
      </c>
      <c r="E324" s="1">
        <f t="shared" si="112"/>
        <v>0</v>
      </c>
      <c r="F324" s="1">
        <f t="shared" si="112"/>
        <v>0</v>
      </c>
      <c r="G324" s="1">
        <f t="shared" si="112"/>
        <v>0</v>
      </c>
      <c r="H324" s="1">
        <f t="shared" si="112"/>
        <v>0</v>
      </c>
      <c r="I324" s="1">
        <f t="shared" si="112"/>
        <v>0</v>
      </c>
      <c r="J324" s="36"/>
    </row>
    <row r="325" spans="1:10" x14ac:dyDescent="0.25">
      <c r="A325" s="33">
        <v>234</v>
      </c>
      <c r="B325" s="9" t="s">
        <v>10</v>
      </c>
      <c r="C325" s="1">
        <f t="shared" si="110"/>
        <v>0</v>
      </c>
      <c r="D325" s="1">
        <f t="shared" si="112"/>
        <v>0</v>
      </c>
      <c r="E325" s="1">
        <f t="shared" si="112"/>
        <v>0</v>
      </c>
      <c r="F325" s="1">
        <f t="shared" si="112"/>
        <v>0</v>
      </c>
      <c r="G325" s="1">
        <f t="shared" si="112"/>
        <v>0</v>
      </c>
      <c r="H325" s="1">
        <f t="shared" si="112"/>
        <v>0</v>
      </c>
      <c r="I325" s="1">
        <f t="shared" si="112"/>
        <v>0</v>
      </c>
      <c r="J325" s="36"/>
    </row>
    <row r="326" spans="1:10" x14ac:dyDescent="0.25">
      <c r="A326" s="33">
        <v>235</v>
      </c>
      <c r="B326" s="9" t="s">
        <v>11</v>
      </c>
      <c r="C326" s="1">
        <f t="shared" si="110"/>
        <v>788311.04000000004</v>
      </c>
      <c r="D326" s="1">
        <f>D331+D352+D357</f>
        <v>118000</v>
      </c>
      <c r="E326" s="1">
        <f t="shared" si="112"/>
        <v>220311.04000000001</v>
      </c>
      <c r="F326" s="1">
        <f t="shared" si="112"/>
        <v>60000</v>
      </c>
      <c r="G326" s="1">
        <f t="shared" si="112"/>
        <v>90000</v>
      </c>
      <c r="H326" s="1">
        <f t="shared" si="112"/>
        <v>200000</v>
      </c>
      <c r="I326" s="1">
        <f t="shared" si="112"/>
        <v>100000</v>
      </c>
      <c r="J326" s="36"/>
    </row>
    <row r="327" spans="1:10" x14ac:dyDescent="0.25">
      <c r="A327" s="33">
        <v>236</v>
      </c>
      <c r="B327" s="9" t="s">
        <v>12</v>
      </c>
      <c r="C327" s="1">
        <f t="shared" si="110"/>
        <v>0</v>
      </c>
      <c r="D327" s="1">
        <f t="shared" ref="D327:I327" si="113">D332+D353+D358</f>
        <v>0</v>
      </c>
      <c r="E327" s="1">
        <f t="shared" si="113"/>
        <v>0</v>
      </c>
      <c r="F327" s="1">
        <f t="shared" si="113"/>
        <v>0</v>
      </c>
      <c r="G327" s="1">
        <f t="shared" si="113"/>
        <v>0</v>
      </c>
      <c r="H327" s="1">
        <f t="shared" si="113"/>
        <v>0</v>
      </c>
      <c r="I327" s="1">
        <f t="shared" si="113"/>
        <v>0</v>
      </c>
      <c r="J327" s="36"/>
    </row>
    <row r="328" spans="1:10" ht="148.5" x14ac:dyDescent="0.25">
      <c r="A328" s="33">
        <v>237</v>
      </c>
      <c r="B328" s="11" t="s">
        <v>99</v>
      </c>
      <c r="C328" s="2">
        <f t="shared" si="110"/>
        <v>378311.04000000004</v>
      </c>
      <c r="D328" s="2">
        <f t="shared" ref="D328:I328" si="114">SUM(D330:D332)</f>
        <v>118000</v>
      </c>
      <c r="E328" s="2">
        <f t="shared" si="114"/>
        <v>160311.04000000001</v>
      </c>
      <c r="F328" s="2">
        <f t="shared" si="114"/>
        <v>0</v>
      </c>
      <c r="G328" s="2">
        <f t="shared" si="114"/>
        <v>0</v>
      </c>
      <c r="H328" s="2">
        <f t="shared" si="114"/>
        <v>100000</v>
      </c>
      <c r="I328" s="2">
        <f t="shared" si="114"/>
        <v>0</v>
      </c>
      <c r="J328" s="36" t="s">
        <v>75</v>
      </c>
    </row>
    <row r="329" spans="1:10" x14ac:dyDescent="0.25">
      <c r="A329" s="33">
        <v>238</v>
      </c>
      <c r="B329" s="9" t="s">
        <v>59</v>
      </c>
      <c r="C329" s="1">
        <f t="shared" si="110"/>
        <v>0</v>
      </c>
      <c r="D329" s="1">
        <v>0</v>
      </c>
      <c r="E329" s="1">
        <v>0</v>
      </c>
      <c r="F329" s="1">
        <v>0</v>
      </c>
      <c r="G329" s="1">
        <v>0</v>
      </c>
      <c r="H329" s="1">
        <v>0</v>
      </c>
      <c r="I329" s="1">
        <v>0</v>
      </c>
      <c r="J329" s="9"/>
    </row>
    <row r="330" spans="1:10" x14ac:dyDescent="0.25">
      <c r="A330" s="33">
        <v>239</v>
      </c>
      <c r="B330" s="9" t="s">
        <v>10</v>
      </c>
      <c r="C330" s="1">
        <f t="shared" si="110"/>
        <v>0</v>
      </c>
      <c r="D330" s="1">
        <f t="shared" ref="D330:I332" si="115">(D334+D338+D342+D346)*1000</f>
        <v>0</v>
      </c>
      <c r="E330" s="1">
        <f t="shared" si="115"/>
        <v>0</v>
      </c>
      <c r="F330" s="1">
        <f t="shared" si="115"/>
        <v>0</v>
      </c>
      <c r="G330" s="1">
        <f t="shared" si="115"/>
        <v>0</v>
      </c>
      <c r="H330" s="1">
        <f t="shared" si="115"/>
        <v>0</v>
      </c>
      <c r="I330" s="1">
        <f t="shared" si="115"/>
        <v>0</v>
      </c>
      <c r="J330" s="9"/>
    </row>
    <row r="331" spans="1:10" x14ac:dyDescent="0.25">
      <c r="A331" s="33">
        <v>240</v>
      </c>
      <c r="B331" s="9" t="s">
        <v>11</v>
      </c>
      <c r="C331" s="1">
        <f t="shared" si="110"/>
        <v>378311.04000000004</v>
      </c>
      <c r="D331" s="1">
        <f>(D335+D339+D343+D347)*1000-32000</f>
        <v>118000</v>
      </c>
      <c r="E331" s="1">
        <f>200000+16615.04-56304</f>
        <v>160311.04000000001</v>
      </c>
      <c r="F331" s="1">
        <f t="shared" si="115"/>
        <v>0</v>
      </c>
      <c r="G331" s="1">
        <f t="shared" si="115"/>
        <v>0</v>
      </c>
      <c r="H331" s="1">
        <f t="shared" si="115"/>
        <v>100000</v>
      </c>
      <c r="I331" s="1">
        <f t="shared" si="115"/>
        <v>0</v>
      </c>
      <c r="J331" s="9"/>
    </row>
    <row r="332" spans="1:10" x14ac:dyDescent="0.25">
      <c r="A332" s="33">
        <v>241</v>
      </c>
      <c r="B332" s="9" t="s">
        <v>12</v>
      </c>
      <c r="C332" s="1">
        <f t="shared" si="110"/>
        <v>0</v>
      </c>
      <c r="D332" s="1">
        <f t="shared" si="115"/>
        <v>0</v>
      </c>
      <c r="E332" s="1">
        <f t="shared" si="115"/>
        <v>0</v>
      </c>
      <c r="F332" s="1">
        <f t="shared" si="115"/>
        <v>0</v>
      </c>
      <c r="G332" s="1">
        <f t="shared" si="115"/>
        <v>0</v>
      </c>
      <c r="H332" s="1">
        <f t="shared" si="115"/>
        <v>0</v>
      </c>
      <c r="I332" s="1">
        <f t="shared" si="115"/>
        <v>0</v>
      </c>
      <c r="J332" s="9"/>
    </row>
    <row r="333" spans="1:10" ht="38.25" hidden="1" x14ac:dyDescent="0.25">
      <c r="A333" s="33"/>
      <c r="B333" s="9" t="s">
        <v>43</v>
      </c>
      <c r="C333" s="3">
        <f t="shared" si="110"/>
        <v>250</v>
      </c>
      <c r="D333" s="3">
        <f t="shared" ref="D333:I333" si="116">SUM(D334:D336)</f>
        <v>150</v>
      </c>
      <c r="E333" s="3">
        <f t="shared" si="116"/>
        <v>0</v>
      </c>
      <c r="F333" s="3">
        <f t="shared" si="116"/>
        <v>0</v>
      </c>
      <c r="G333" s="3">
        <f t="shared" si="116"/>
        <v>0</v>
      </c>
      <c r="H333" s="3">
        <f t="shared" si="116"/>
        <v>100</v>
      </c>
      <c r="I333" s="3">
        <f t="shared" si="116"/>
        <v>0</v>
      </c>
      <c r="J333" s="9"/>
    </row>
    <row r="334" spans="1:10" hidden="1" x14ac:dyDescent="0.25">
      <c r="A334" s="33"/>
      <c r="B334" s="9" t="s">
        <v>10</v>
      </c>
      <c r="C334" s="1">
        <f t="shared" si="110"/>
        <v>0</v>
      </c>
      <c r="D334" s="1"/>
      <c r="E334" s="1"/>
      <c r="F334" s="1"/>
      <c r="G334" s="1"/>
      <c r="H334" s="1"/>
      <c r="I334" s="1"/>
      <c r="J334" s="9"/>
    </row>
    <row r="335" spans="1:10" hidden="1" x14ac:dyDescent="0.25">
      <c r="A335" s="33"/>
      <c r="B335" s="9" t="s">
        <v>11</v>
      </c>
      <c r="C335" s="1">
        <f t="shared" si="110"/>
        <v>250</v>
      </c>
      <c r="D335" s="1">
        <v>150</v>
      </c>
      <c r="E335" s="1"/>
      <c r="F335" s="1"/>
      <c r="G335" s="1"/>
      <c r="H335" s="1">
        <v>100</v>
      </c>
      <c r="I335" s="1"/>
      <c r="J335" s="9"/>
    </row>
    <row r="336" spans="1:10" hidden="1" x14ac:dyDescent="0.25">
      <c r="A336" s="33"/>
      <c r="B336" s="9" t="s">
        <v>12</v>
      </c>
      <c r="C336" s="1">
        <f t="shared" si="110"/>
        <v>0</v>
      </c>
      <c r="D336" s="1"/>
      <c r="E336" s="1"/>
      <c r="F336" s="1"/>
      <c r="G336" s="1"/>
      <c r="H336" s="1"/>
      <c r="I336" s="1"/>
      <c r="J336" s="9"/>
    </row>
    <row r="337" spans="1:10" ht="38.25" hidden="1" x14ac:dyDescent="0.25">
      <c r="A337" s="33"/>
      <c r="B337" s="9" t="s">
        <v>44</v>
      </c>
      <c r="C337" s="3">
        <f t="shared" si="110"/>
        <v>0</v>
      </c>
      <c r="D337" s="3"/>
      <c r="E337" s="3"/>
      <c r="F337" s="3"/>
      <c r="G337" s="3"/>
      <c r="H337" s="3"/>
      <c r="I337" s="3"/>
      <c r="J337" s="9"/>
    </row>
    <row r="338" spans="1:10" hidden="1" x14ac:dyDescent="0.25">
      <c r="A338" s="33"/>
      <c r="B338" s="9" t="s">
        <v>10</v>
      </c>
      <c r="C338" s="1">
        <f t="shared" si="110"/>
        <v>0</v>
      </c>
      <c r="D338" s="1"/>
      <c r="E338" s="1"/>
      <c r="F338" s="1"/>
      <c r="G338" s="1"/>
      <c r="H338" s="1"/>
      <c r="I338" s="1"/>
      <c r="J338" s="9"/>
    </row>
    <row r="339" spans="1:10" hidden="1" x14ac:dyDescent="0.25">
      <c r="A339" s="33"/>
      <c r="B339" s="9" t="s">
        <v>11</v>
      </c>
      <c r="C339" s="1">
        <f t="shared" si="110"/>
        <v>0</v>
      </c>
      <c r="D339" s="1"/>
      <c r="E339" s="1"/>
      <c r="F339" s="1"/>
      <c r="G339" s="1"/>
      <c r="H339" s="1"/>
      <c r="I339" s="1"/>
      <c r="J339" s="9"/>
    </row>
    <row r="340" spans="1:10" hidden="1" x14ac:dyDescent="0.25">
      <c r="A340" s="33"/>
      <c r="B340" s="9" t="s">
        <v>12</v>
      </c>
      <c r="C340" s="1">
        <f t="shared" si="110"/>
        <v>0</v>
      </c>
      <c r="D340" s="1"/>
      <c r="E340" s="1"/>
      <c r="F340" s="1"/>
      <c r="G340" s="1"/>
      <c r="H340" s="1"/>
      <c r="I340" s="1"/>
      <c r="J340" s="9"/>
    </row>
    <row r="341" spans="1:10" ht="51" hidden="1" x14ac:dyDescent="0.25">
      <c r="A341" s="33"/>
      <c r="B341" s="9" t="s">
        <v>45</v>
      </c>
      <c r="C341" s="3">
        <f t="shared" si="110"/>
        <v>0</v>
      </c>
      <c r="D341" s="3">
        <f t="shared" ref="D341:I341" si="117">SUM(D342:D344)</f>
        <v>0</v>
      </c>
      <c r="E341" s="3">
        <f t="shared" si="117"/>
        <v>0</v>
      </c>
      <c r="F341" s="3">
        <f t="shared" si="117"/>
        <v>0</v>
      </c>
      <c r="G341" s="3">
        <f t="shared" si="117"/>
        <v>0</v>
      </c>
      <c r="H341" s="3">
        <f t="shared" si="117"/>
        <v>0</v>
      </c>
      <c r="I341" s="3">
        <f t="shared" si="117"/>
        <v>0</v>
      </c>
      <c r="J341" s="9"/>
    </row>
    <row r="342" spans="1:10" hidden="1" x14ac:dyDescent="0.25">
      <c r="A342" s="33"/>
      <c r="B342" s="9" t="s">
        <v>10</v>
      </c>
      <c r="C342" s="1">
        <f t="shared" si="110"/>
        <v>0</v>
      </c>
      <c r="D342" s="1"/>
      <c r="E342" s="1"/>
      <c r="F342" s="1"/>
      <c r="G342" s="1"/>
      <c r="H342" s="1"/>
      <c r="I342" s="1"/>
      <c r="J342" s="9"/>
    </row>
    <row r="343" spans="1:10" hidden="1" x14ac:dyDescent="0.25">
      <c r="A343" s="33"/>
      <c r="B343" s="9" t="s">
        <v>11</v>
      </c>
      <c r="C343" s="1">
        <f t="shared" si="110"/>
        <v>0</v>
      </c>
      <c r="D343" s="1"/>
      <c r="E343" s="1"/>
      <c r="F343" s="1"/>
      <c r="G343" s="1"/>
      <c r="H343" s="1"/>
      <c r="I343" s="1"/>
      <c r="J343" s="9"/>
    </row>
    <row r="344" spans="1:10" hidden="1" x14ac:dyDescent="0.25">
      <c r="A344" s="33"/>
      <c r="B344" s="9" t="s">
        <v>12</v>
      </c>
      <c r="C344" s="1">
        <f t="shared" si="110"/>
        <v>0</v>
      </c>
      <c r="D344" s="1"/>
      <c r="E344" s="1"/>
      <c r="F344" s="1"/>
      <c r="G344" s="1"/>
      <c r="H344" s="1"/>
      <c r="I344" s="1"/>
      <c r="J344" s="9"/>
    </row>
    <row r="345" spans="1:10" ht="38.25" hidden="1" x14ac:dyDescent="0.25">
      <c r="A345" s="33"/>
      <c r="B345" s="9" t="s">
        <v>46</v>
      </c>
      <c r="C345" s="3">
        <f t="shared" si="110"/>
        <v>0</v>
      </c>
      <c r="D345" s="3">
        <f t="shared" ref="D345:I345" si="118">SUM(D346:D348)</f>
        <v>0</v>
      </c>
      <c r="E345" s="3">
        <f t="shared" si="118"/>
        <v>0</v>
      </c>
      <c r="F345" s="3">
        <f t="shared" si="118"/>
        <v>0</v>
      </c>
      <c r="G345" s="3">
        <f t="shared" si="118"/>
        <v>0</v>
      </c>
      <c r="H345" s="3">
        <f t="shared" si="118"/>
        <v>0</v>
      </c>
      <c r="I345" s="3">
        <f t="shared" si="118"/>
        <v>0</v>
      </c>
      <c r="J345" s="9"/>
    </row>
    <row r="346" spans="1:10" hidden="1" x14ac:dyDescent="0.25">
      <c r="A346" s="33"/>
      <c r="B346" s="9" t="s">
        <v>10</v>
      </c>
      <c r="C346" s="1">
        <f t="shared" si="110"/>
        <v>0</v>
      </c>
      <c r="D346" s="1"/>
      <c r="E346" s="1"/>
      <c r="F346" s="1"/>
      <c r="G346" s="1"/>
      <c r="H346" s="1"/>
      <c r="I346" s="1"/>
      <c r="J346" s="9"/>
    </row>
    <row r="347" spans="1:10" hidden="1" x14ac:dyDescent="0.25">
      <c r="A347" s="33"/>
      <c r="B347" s="9" t="s">
        <v>11</v>
      </c>
      <c r="C347" s="1">
        <f t="shared" si="110"/>
        <v>0</v>
      </c>
      <c r="D347" s="1"/>
      <c r="E347" s="1"/>
      <c r="F347" s="1"/>
      <c r="G347" s="1"/>
      <c r="H347" s="1"/>
      <c r="I347" s="1"/>
      <c r="J347" s="9"/>
    </row>
    <row r="348" spans="1:10" hidden="1" x14ac:dyDescent="0.25">
      <c r="A348" s="33"/>
      <c r="B348" s="9" t="s">
        <v>12</v>
      </c>
      <c r="C348" s="1">
        <f t="shared" si="110"/>
        <v>0</v>
      </c>
      <c r="D348" s="1"/>
      <c r="E348" s="1"/>
      <c r="F348" s="1"/>
      <c r="G348" s="1"/>
      <c r="H348" s="1"/>
      <c r="I348" s="1"/>
      <c r="J348" s="9"/>
    </row>
    <row r="349" spans="1:10" ht="67.5" x14ac:dyDescent="0.25">
      <c r="A349" s="33">
        <v>242</v>
      </c>
      <c r="B349" s="11" t="s">
        <v>100</v>
      </c>
      <c r="C349" s="2">
        <f t="shared" si="110"/>
        <v>410000</v>
      </c>
      <c r="D349" s="2">
        <f t="shared" ref="D349:I349" si="119">SUM(D351:D353)</f>
        <v>0</v>
      </c>
      <c r="E349" s="2">
        <f t="shared" si="119"/>
        <v>60000</v>
      </c>
      <c r="F349" s="2">
        <f t="shared" si="119"/>
        <v>60000</v>
      </c>
      <c r="G349" s="2">
        <f t="shared" si="119"/>
        <v>90000</v>
      </c>
      <c r="H349" s="2">
        <f t="shared" si="119"/>
        <v>100000</v>
      </c>
      <c r="I349" s="2">
        <f t="shared" si="119"/>
        <v>100000</v>
      </c>
      <c r="J349" s="36" t="s">
        <v>75</v>
      </c>
    </row>
    <row r="350" spans="1:10" x14ac:dyDescent="0.25">
      <c r="A350" s="33">
        <v>243</v>
      </c>
      <c r="B350" s="9" t="s">
        <v>59</v>
      </c>
      <c r="C350" s="1">
        <f t="shared" si="110"/>
        <v>0</v>
      </c>
      <c r="D350" s="1">
        <v>0</v>
      </c>
      <c r="E350" s="1">
        <v>0</v>
      </c>
      <c r="F350" s="1">
        <v>0</v>
      </c>
      <c r="G350" s="1">
        <v>0</v>
      </c>
      <c r="H350" s="1">
        <v>0</v>
      </c>
      <c r="I350" s="1">
        <v>0</v>
      </c>
      <c r="J350" s="9"/>
    </row>
    <row r="351" spans="1:10" x14ac:dyDescent="0.25">
      <c r="A351" s="33">
        <v>244</v>
      </c>
      <c r="B351" s="9" t="s">
        <v>10</v>
      </c>
      <c r="C351" s="1">
        <f t="shared" si="110"/>
        <v>0</v>
      </c>
      <c r="D351" s="1"/>
      <c r="E351" s="1"/>
      <c r="F351" s="1"/>
      <c r="G351" s="1"/>
      <c r="H351" s="1"/>
      <c r="I351" s="1"/>
      <c r="J351" s="9"/>
    </row>
    <row r="352" spans="1:10" x14ac:dyDescent="0.25">
      <c r="A352" s="33">
        <v>245</v>
      </c>
      <c r="B352" s="9" t="s">
        <v>11</v>
      </c>
      <c r="C352" s="1">
        <f t="shared" si="110"/>
        <v>410000</v>
      </c>
      <c r="D352" s="1">
        <f>80000-80000</f>
        <v>0</v>
      </c>
      <c r="E352" s="1">
        <v>60000</v>
      </c>
      <c r="F352" s="1">
        <v>60000</v>
      </c>
      <c r="G352" s="1">
        <v>90000</v>
      </c>
      <c r="H352" s="1">
        <v>100000</v>
      </c>
      <c r="I352" s="1">
        <v>100000</v>
      </c>
      <c r="J352" s="9"/>
    </row>
    <row r="353" spans="1:10" x14ac:dyDescent="0.25">
      <c r="A353" s="33">
        <v>246</v>
      </c>
      <c r="B353" s="9" t="s">
        <v>12</v>
      </c>
      <c r="C353" s="1">
        <f t="shared" si="110"/>
        <v>0</v>
      </c>
      <c r="D353" s="1"/>
      <c r="E353" s="1"/>
      <c r="F353" s="1"/>
      <c r="G353" s="1"/>
      <c r="H353" s="1"/>
      <c r="I353" s="1"/>
      <c r="J353" s="9"/>
    </row>
    <row r="354" spans="1:10" ht="40.5" x14ac:dyDescent="0.25">
      <c r="A354" s="33">
        <v>247</v>
      </c>
      <c r="B354" s="11" t="s">
        <v>101</v>
      </c>
      <c r="C354" s="36" t="s">
        <v>48</v>
      </c>
      <c r="D354" s="2">
        <f t="shared" ref="D354:I354" si="120">SUM(D356:D358)</f>
        <v>0</v>
      </c>
      <c r="E354" s="2">
        <f t="shared" si="120"/>
        <v>0</v>
      </c>
      <c r="F354" s="2">
        <f t="shared" si="120"/>
        <v>0</v>
      </c>
      <c r="G354" s="2">
        <f t="shared" si="120"/>
        <v>0</v>
      </c>
      <c r="H354" s="2">
        <f t="shared" si="120"/>
        <v>0</v>
      </c>
      <c r="I354" s="2">
        <f t="shared" si="120"/>
        <v>0</v>
      </c>
      <c r="J354" s="36" t="s">
        <v>75</v>
      </c>
    </row>
    <row r="355" spans="1:10" x14ac:dyDescent="0.25">
      <c r="A355" s="33">
        <v>248</v>
      </c>
      <c r="B355" s="9" t="s">
        <v>59</v>
      </c>
      <c r="C355" s="1">
        <f t="shared" si="110"/>
        <v>0</v>
      </c>
      <c r="D355" s="1">
        <v>0</v>
      </c>
      <c r="E355" s="1">
        <v>0</v>
      </c>
      <c r="F355" s="1">
        <v>0</v>
      </c>
      <c r="G355" s="1">
        <v>0</v>
      </c>
      <c r="H355" s="1">
        <v>0</v>
      </c>
      <c r="I355" s="1">
        <v>0</v>
      </c>
      <c r="J355" s="9"/>
    </row>
    <row r="356" spans="1:10" x14ac:dyDescent="0.25">
      <c r="A356" s="33">
        <v>249</v>
      </c>
      <c r="B356" s="9" t="s">
        <v>10</v>
      </c>
      <c r="C356" s="1">
        <f t="shared" si="110"/>
        <v>0</v>
      </c>
      <c r="D356" s="1">
        <v>0</v>
      </c>
      <c r="E356" s="1">
        <v>0</v>
      </c>
      <c r="F356" s="1">
        <v>0</v>
      </c>
      <c r="G356" s="1">
        <v>0</v>
      </c>
      <c r="H356" s="1">
        <v>0</v>
      </c>
      <c r="I356" s="1">
        <v>0</v>
      </c>
      <c r="J356" s="9"/>
    </row>
    <row r="357" spans="1:10" x14ac:dyDescent="0.25">
      <c r="A357" s="33">
        <v>250</v>
      </c>
      <c r="B357" s="9" t="s">
        <v>11</v>
      </c>
      <c r="C357" s="1">
        <f t="shared" si="110"/>
        <v>0</v>
      </c>
      <c r="D357" s="1">
        <v>0</v>
      </c>
      <c r="E357" s="1">
        <v>0</v>
      </c>
      <c r="F357" s="1">
        <v>0</v>
      </c>
      <c r="G357" s="1">
        <v>0</v>
      </c>
      <c r="H357" s="1">
        <v>0</v>
      </c>
      <c r="I357" s="1">
        <v>0</v>
      </c>
      <c r="J357" s="9"/>
    </row>
    <row r="358" spans="1:10" x14ac:dyDescent="0.25">
      <c r="A358" s="33">
        <v>251</v>
      </c>
      <c r="B358" s="9" t="s">
        <v>12</v>
      </c>
      <c r="C358" s="1">
        <f t="shared" si="110"/>
        <v>0</v>
      </c>
      <c r="D358" s="1">
        <v>0</v>
      </c>
      <c r="E358" s="1">
        <v>0</v>
      </c>
      <c r="F358" s="1">
        <v>0</v>
      </c>
      <c r="G358" s="1">
        <v>0</v>
      </c>
      <c r="H358" s="1">
        <v>0</v>
      </c>
      <c r="I358" s="1">
        <v>0</v>
      </c>
      <c r="J358" s="9"/>
    </row>
    <row r="359" spans="1:10" ht="25.5" customHeight="1" x14ac:dyDescent="0.25">
      <c r="A359" s="33">
        <v>252</v>
      </c>
      <c r="B359" s="206" t="s">
        <v>17</v>
      </c>
      <c r="C359" s="207"/>
      <c r="D359" s="207"/>
      <c r="E359" s="207"/>
      <c r="F359" s="207"/>
      <c r="G359" s="207"/>
      <c r="H359" s="207"/>
      <c r="I359" s="207"/>
      <c r="J359" s="208"/>
    </row>
    <row r="360" spans="1:10" x14ac:dyDescent="0.25">
      <c r="A360" s="33">
        <v>253</v>
      </c>
      <c r="B360" s="206" t="s">
        <v>131</v>
      </c>
      <c r="C360" s="207"/>
      <c r="D360" s="207"/>
      <c r="E360" s="207"/>
      <c r="F360" s="207"/>
      <c r="G360" s="207"/>
      <c r="H360" s="207"/>
      <c r="I360" s="207"/>
      <c r="J360" s="208"/>
    </row>
    <row r="361" spans="1:10" x14ac:dyDescent="0.25">
      <c r="A361" s="33">
        <v>254</v>
      </c>
      <c r="B361" s="20" t="s">
        <v>47</v>
      </c>
      <c r="C361" s="3">
        <f>SUM(D361:I361)</f>
        <v>3150233.11</v>
      </c>
      <c r="D361" s="3">
        <f t="shared" ref="D361:I361" si="121">SUM(D363:D365)</f>
        <v>309148</v>
      </c>
      <c r="E361" s="3">
        <f t="shared" si="121"/>
        <v>425085.11</v>
      </c>
      <c r="F361" s="3">
        <f t="shared" si="121"/>
        <v>545000</v>
      </c>
      <c r="G361" s="3">
        <f t="shared" si="121"/>
        <v>572000</v>
      </c>
      <c r="H361" s="3">
        <f t="shared" si="121"/>
        <v>609000</v>
      </c>
      <c r="I361" s="3">
        <f t="shared" si="121"/>
        <v>690000</v>
      </c>
      <c r="J361" s="9"/>
    </row>
    <row r="362" spans="1:10" x14ac:dyDescent="0.25">
      <c r="A362" s="33">
        <v>255</v>
      </c>
      <c r="B362" s="9" t="s">
        <v>59</v>
      </c>
      <c r="C362" s="1">
        <f>SUM(D362:I362)</f>
        <v>0</v>
      </c>
      <c r="D362" s="1">
        <f t="shared" ref="D362:I365" si="122">D368+D374</f>
        <v>0</v>
      </c>
      <c r="E362" s="1">
        <f t="shared" si="122"/>
        <v>0</v>
      </c>
      <c r="F362" s="1">
        <f t="shared" si="122"/>
        <v>0</v>
      </c>
      <c r="G362" s="1">
        <f t="shared" si="122"/>
        <v>0</v>
      </c>
      <c r="H362" s="1">
        <f t="shared" si="122"/>
        <v>0</v>
      </c>
      <c r="I362" s="1">
        <f t="shared" si="122"/>
        <v>0</v>
      </c>
      <c r="J362" s="9"/>
    </row>
    <row r="363" spans="1:10" x14ac:dyDescent="0.25">
      <c r="A363" s="33">
        <v>256</v>
      </c>
      <c r="B363" s="21" t="s">
        <v>10</v>
      </c>
      <c r="C363" s="9">
        <f>SUM(D363:I363)</f>
        <v>0</v>
      </c>
      <c r="D363" s="9">
        <f t="shared" si="122"/>
        <v>0</v>
      </c>
      <c r="E363" s="9">
        <f t="shared" si="122"/>
        <v>0</v>
      </c>
      <c r="F363" s="9">
        <f t="shared" si="122"/>
        <v>0</v>
      </c>
      <c r="G363" s="9">
        <f t="shared" si="122"/>
        <v>0</v>
      </c>
      <c r="H363" s="9">
        <f t="shared" si="122"/>
        <v>0</v>
      </c>
      <c r="I363" s="9">
        <f t="shared" si="122"/>
        <v>0</v>
      </c>
      <c r="J363" s="9"/>
    </row>
    <row r="364" spans="1:10" x14ac:dyDescent="0.25">
      <c r="A364" s="33">
        <v>257</v>
      </c>
      <c r="B364" s="21" t="s">
        <v>11</v>
      </c>
      <c r="C364" s="9">
        <f>SUM(D364:I364)</f>
        <v>3150233.11</v>
      </c>
      <c r="D364" s="9">
        <f t="shared" si="122"/>
        <v>309148</v>
      </c>
      <c r="E364" s="9">
        <f t="shared" si="122"/>
        <v>425085.11</v>
      </c>
      <c r="F364" s="9">
        <f t="shared" si="122"/>
        <v>545000</v>
      </c>
      <c r="G364" s="9">
        <f t="shared" si="122"/>
        <v>572000</v>
      </c>
      <c r="H364" s="9">
        <f t="shared" si="122"/>
        <v>609000</v>
      </c>
      <c r="I364" s="9">
        <f t="shared" si="122"/>
        <v>690000</v>
      </c>
      <c r="J364" s="9"/>
    </row>
    <row r="365" spans="1:10" x14ac:dyDescent="0.25">
      <c r="A365" s="33">
        <v>258</v>
      </c>
      <c r="B365" s="21" t="s">
        <v>12</v>
      </c>
      <c r="C365" s="9">
        <f>SUM(D365:I365)</f>
        <v>0</v>
      </c>
      <c r="D365" s="9">
        <f t="shared" si="122"/>
        <v>0</v>
      </c>
      <c r="E365" s="9">
        <f t="shared" si="122"/>
        <v>0</v>
      </c>
      <c r="F365" s="9">
        <f t="shared" si="122"/>
        <v>0</v>
      </c>
      <c r="G365" s="9">
        <f t="shared" si="122"/>
        <v>0</v>
      </c>
      <c r="H365" s="9">
        <f t="shared" si="122"/>
        <v>0</v>
      </c>
      <c r="I365" s="9">
        <f t="shared" si="122"/>
        <v>0</v>
      </c>
      <c r="J365" s="9"/>
    </row>
    <row r="366" spans="1:10" x14ac:dyDescent="0.25">
      <c r="A366" s="33">
        <v>259</v>
      </c>
      <c r="B366" s="203" t="s">
        <v>60</v>
      </c>
      <c r="C366" s="204"/>
      <c r="D366" s="204"/>
      <c r="E366" s="204"/>
      <c r="F366" s="204"/>
      <c r="G366" s="204"/>
      <c r="H366" s="204"/>
      <c r="I366" s="204"/>
      <c r="J366" s="205"/>
    </row>
    <row r="367" spans="1:10" ht="25.5" x14ac:dyDescent="0.25">
      <c r="A367" s="33">
        <v>260</v>
      </c>
      <c r="B367" s="16" t="s">
        <v>62</v>
      </c>
      <c r="C367" s="3">
        <f>SUM(D367:I367)</f>
        <v>0</v>
      </c>
      <c r="D367" s="3">
        <f t="shared" ref="D367:I367" si="123">SUM(D369:D371)</f>
        <v>0</v>
      </c>
      <c r="E367" s="3">
        <f t="shared" si="123"/>
        <v>0</v>
      </c>
      <c r="F367" s="3">
        <f t="shared" si="123"/>
        <v>0</v>
      </c>
      <c r="G367" s="3">
        <f t="shared" si="123"/>
        <v>0</v>
      </c>
      <c r="H367" s="3">
        <f t="shared" si="123"/>
        <v>0</v>
      </c>
      <c r="I367" s="3">
        <f t="shared" si="123"/>
        <v>0</v>
      </c>
      <c r="J367" s="36"/>
    </row>
    <row r="368" spans="1:10" x14ac:dyDescent="0.25">
      <c r="A368" s="33">
        <v>261</v>
      </c>
      <c r="B368" s="9" t="s">
        <v>59</v>
      </c>
      <c r="C368" s="1">
        <f>SUM(D368:I368)</f>
        <v>0</v>
      </c>
      <c r="D368" s="1">
        <v>0</v>
      </c>
      <c r="E368" s="1">
        <v>0</v>
      </c>
      <c r="F368" s="1">
        <v>0</v>
      </c>
      <c r="G368" s="1">
        <v>0</v>
      </c>
      <c r="H368" s="1">
        <v>0</v>
      </c>
      <c r="I368" s="1">
        <v>0</v>
      </c>
      <c r="J368" s="36"/>
    </row>
    <row r="369" spans="1:10" x14ac:dyDescent="0.25">
      <c r="A369" s="33">
        <v>262</v>
      </c>
      <c r="B369" s="17" t="s">
        <v>10</v>
      </c>
      <c r="C369" s="1">
        <f>SUM(D369:I369)</f>
        <v>0</v>
      </c>
      <c r="D369" s="1">
        <v>0</v>
      </c>
      <c r="E369" s="1">
        <v>0</v>
      </c>
      <c r="F369" s="1">
        <v>0</v>
      </c>
      <c r="G369" s="1">
        <v>0</v>
      </c>
      <c r="H369" s="1">
        <v>0</v>
      </c>
      <c r="I369" s="1">
        <v>0</v>
      </c>
      <c r="J369" s="36"/>
    </row>
    <row r="370" spans="1:10" x14ac:dyDescent="0.25">
      <c r="A370" s="33">
        <v>263</v>
      </c>
      <c r="B370" s="17" t="s">
        <v>11</v>
      </c>
      <c r="C370" s="1">
        <f>SUM(D370:I370)</f>
        <v>0</v>
      </c>
      <c r="D370" s="1">
        <v>0</v>
      </c>
      <c r="E370" s="1">
        <v>0</v>
      </c>
      <c r="F370" s="1">
        <v>0</v>
      </c>
      <c r="G370" s="1">
        <v>0</v>
      </c>
      <c r="H370" s="1">
        <v>0</v>
      </c>
      <c r="I370" s="1">
        <v>0</v>
      </c>
      <c r="J370" s="36"/>
    </row>
    <row r="371" spans="1:10" x14ac:dyDescent="0.25">
      <c r="A371" s="33">
        <v>264</v>
      </c>
      <c r="B371" s="17" t="s">
        <v>12</v>
      </c>
      <c r="C371" s="1">
        <f>SUM(D371:I371)</f>
        <v>0</v>
      </c>
      <c r="D371" s="1">
        <v>0</v>
      </c>
      <c r="E371" s="1">
        <v>0</v>
      </c>
      <c r="F371" s="1">
        <v>0</v>
      </c>
      <c r="G371" s="1">
        <v>0</v>
      </c>
      <c r="H371" s="1">
        <v>0</v>
      </c>
      <c r="I371" s="1">
        <v>0</v>
      </c>
      <c r="J371" s="36"/>
    </row>
    <row r="372" spans="1:10" x14ac:dyDescent="0.25">
      <c r="A372" s="33">
        <v>265</v>
      </c>
      <c r="B372" s="203" t="s">
        <v>61</v>
      </c>
      <c r="C372" s="204"/>
      <c r="D372" s="204"/>
      <c r="E372" s="204"/>
      <c r="F372" s="204"/>
      <c r="G372" s="204"/>
      <c r="H372" s="204"/>
      <c r="I372" s="204"/>
      <c r="J372" s="205"/>
    </row>
    <row r="373" spans="1:10" ht="25.5" x14ac:dyDescent="0.25">
      <c r="A373" s="33">
        <v>266</v>
      </c>
      <c r="B373" s="16" t="s">
        <v>71</v>
      </c>
      <c r="C373" s="3">
        <f>SUM(D373:I373)</f>
        <v>3150233.11</v>
      </c>
      <c r="D373" s="3">
        <f t="shared" ref="D373:I373" si="124">SUM(D375:D377)</f>
        <v>309148</v>
      </c>
      <c r="E373" s="3">
        <f t="shared" si="124"/>
        <v>425085.11</v>
      </c>
      <c r="F373" s="3">
        <f t="shared" si="124"/>
        <v>545000</v>
      </c>
      <c r="G373" s="3">
        <f t="shared" si="124"/>
        <v>572000</v>
      </c>
      <c r="H373" s="3">
        <f t="shared" si="124"/>
        <v>609000</v>
      </c>
      <c r="I373" s="3">
        <f t="shared" si="124"/>
        <v>690000</v>
      </c>
      <c r="J373" s="36"/>
    </row>
    <row r="374" spans="1:10" x14ac:dyDescent="0.25">
      <c r="A374" s="33">
        <v>267</v>
      </c>
      <c r="B374" s="9" t="s">
        <v>59</v>
      </c>
      <c r="C374" s="1">
        <f>SUM(D374:I374)</f>
        <v>0</v>
      </c>
      <c r="D374" s="1">
        <v>0</v>
      </c>
      <c r="E374" s="1">
        <v>0</v>
      </c>
      <c r="F374" s="1">
        <v>0</v>
      </c>
      <c r="G374" s="1">
        <v>0</v>
      </c>
      <c r="H374" s="1">
        <v>0</v>
      </c>
      <c r="I374" s="1">
        <v>0</v>
      </c>
      <c r="J374" s="36"/>
    </row>
    <row r="375" spans="1:10" x14ac:dyDescent="0.25">
      <c r="A375" s="33">
        <v>268</v>
      </c>
      <c r="B375" s="17" t="s">
        <v>10</v>
      </c>
      <c r="C375" s="1">
        <f>SUM(D375:I375)</f>
        <v>0</v>
      </c>
      <c r="D375" s="1">
        <f t="shared" ref="D375:I377" si="125">D380+D401+D418</f>
        <v>0</v>
      </c>
      <c r="E375" s="1">
        <f t="shared" si="125"/>
        <v>0</v>
      </c>
      <c r="F375" s="1">
        <f t="shared" si="125"/>
        <v>0</v>
      </c>
      <c r="G375" s="1">
        <f t="shared" si="125"/>
        <v>0</v>
      </c>
      <c r="H375" s="1">
        <f t="shared" si="125"/>
        <v>0</v>
      </c>
      <c r="I375" s="1">
        <f t="shared" si="125"/>
        <v>0</v>
      </c>
      <c r="J375" s="36"/>
    </row>
    <row r="376" spans="1:10" x14ac:dyDescent="0.25">
      <c r="A376" s="33">
        <v>269</v>
      </c>
      <c r="B376" s="17" t="s">
        <v>11</v>
      </c>
      <c r="C376" s="9">
        <f>SUM(D376:I376)</f>
        <v>3150233.11</v>
      </c>
      <c r="D376" s="9">
        <f t="shared" si="125"/>
        <v>309148</v>
      </c>
      <c r="E376" s="9">
        <f t="shared" si="125"/>
        <v>425085.11</v>
      </c>
      <c r="F376" s="9">
        <f t="shared" si="125"/>
        <v>545000</v>
      </c>
      <c r="G376" s="9">
        <f t="shared" si="125"/>
        <v>572000</v>
      </c>
      <c r="H376" s="9">
        <f t="shared" si="125"/>
        <v>609000</v>
      </c>
      <c r="I376" s="9">
        <f t="shared" si="125"/>
        <v>690000</v>
      </c>
      <c r="J376" s="36"/>
    </row>
    <row r="377" spans="1:10" x14ac:dyDescent="0.25">
      <c r="A377" s="33">
        <v>270</v>
      </c>
      <c r="B377" s="17" t="s">
        <v>12</v>
      </c>
      <c r="C377" s="9">
        <f>SUM(D377:I377)</f>
        <v>0</v>
      </c>
      <c r="D377" s="9">
        <f t="shared" si="125"/>
        <v>0</v>
      </c>
      <c r="E377" s="9">
        <f t="shared" si="125"/>
        <v>0</v>
      </c>
      <c r="F377" s="9">
        <f t="shared" si="125"/>
        <v>0</v>
      </c>
      <c r="G377" s="9">
        <f t="shared" si="125"/>
        <v>0</v>
      </c>
      <c r="H377" s="9">
        <f t="shared" si="125"/>
        <v>0</v>
      </c>
      <c r="I377" s="9">
        <f t="shared" si="125"/>
        <v>0</v>
      </c>
      <c r="J377" s="36"/>
    </row>
    <row r="378" spans="1:10" ht="81" x14ac:dyDescent="0.25">
      <c r="A378" s="33">
        <v>271</v>
      </c>
      <c r="B378" s="22" t="s">
        <v>102</v>
      </c>
      <c r="C378" s="36" t="s">
        <v>48</v>
      </c>
      <c r="D378" s="1">
        <v>0</v>
      </c>
      <c r="E378" s="1">
        <v>0</v>
      </c>
      <c r="F378" s="1">
        <v>0</v>
      </c>
      <c r="G378" s="1">
        <v>0</v>
      </c>
      <c r="H378" s="1">
        <v>0</v>
      </c>
      <c r="I378" s="1">
        <v>0</v>
      </c>
      <c r="J378" s="36" t="s">
        <v>76</v>
      </c>
    </row>
    <row r="379" spans="1:10" x14ac:dyDescent="0.25">
      <c r="A379" s="33">
        <v>272</v>
      </c>
      <c r="B379" s="9" t="s">
        <v>59</v>
      </c>
      <c r="C379" s="36">
        <f>SUM(D379:I379)</f>
        <v>0</v>
      </c>
      <c r="D379" s="1">
        <v>0</v>
      </c>
      <c r="E379" s="1">
        <v>0</v>
      </c>
      <c r="F379" s="1">
        <v>0</v>
      </c>
      <c r="G379" s="1">
        <v>0</v>
      </c>
      <c r="H379" s="1">
        <v>0</v>
      </c>
      <c r="I379" s="1">
        <v>0</v>
      </c>
      <c r="J379" s="9"/>
    </row>
    <row r="380" spans="1:10" x14ac:dyDescent="0.25">
      <c r="A380" s="33">
        <v>273</v>
      </c>
      <c r="B380" s="21" t="s">
        <v>10</v>
      </c>
      <c r="C380" s="36">
        <f>SUM(D380:I380)</f>
        <v>0</v>
      </c>
      <c r="D380" s="1">
        <v>0</v>
      </c>
      <c r="E380" s="1">
        <v>0</v>
      </c>
      <c r="F380" s="1">
        <v>0</v>
      </c>
      <c r="G380" s="1">
        <v>0</v>
      </c>
      <c r="H380" s="1">
        <v>0</v>
      </c>
      <c r="I380" s="1">
        <v>0</v>
      </c>
      <c r="J380" s="9"/>
    </row>
    <row r="381" spans="1:10" x14ac:dyDescent="0.25">
      <c r="A381" s="33">
        <v>274</v>
      </c>
      <c r="B381" s="21" t="s">
        <v>11</v>
      </c>
      <c r="C381" s="36">
        <f>SUM(D381:I381)</f>
        <v>0</v>
      </c>
      <c r="D381" s="1">
        <v>0</v>
      </c>
      <c r="E381" s="1">
        <v>0</v>
      </c>
      <c r="F381" s="1">
        <v>0</v>
      </c>
      <c r="G381" s="1">
        <v>0</v>
      </c>
      <c r="H381" s="1">
        <v>0</v>
      </c>
      <c r="I381" s="1">
        <v>0</v>
      </c>
      <c r="J381" s="9"/>
    </row>
    <row r="382" spans="1:10" x14ac:dyDescent="0.25">
      <c r="A382" s="33">
        <v>275</v>
      </c>
      <c r="B382" s="21" t="s">
        <v>12</v>
      </c>
      <c r="C382" s="36">
        <f>SUM(D382:I382)</f>
        <v>0</v>
      </c>
      <c r="D382" s="1">
        <v>0</v>
      </c>
      <c r="E382" s="1">
        <v>0</v>
      </c>
      <c r="F382" s="1">
        <v>0</v>
      </c>
      <c r="G382" s="1">
        <v>0</v>
      </c>
      <c r="H382" s="1">
        <v>0</v>
      </c>
      <c r="I382" s="1">
        <v>0</v>
      </c>
      <c r="J382" s="9"/>
    </row>
    <row r="383" spans="1:10" ht="63.75" hidden="1" x14ac:dyDescent="0.25">
      <c r="A383" s="33">
        <v>284</v>
      </c>
      <c r="B383" s="21" t="s">
        <v>49</v>
      </c>
      <c r="C383" s="36"/>
      <c r="D383" s="36"/>
      <c r="E383" s="36"/>
      <c r="F383" s="36"/>
      <c r="G383" s="36"/>
      <c r="H383" s="36"/>
      <c r="I383" s="36"/>
      <c r="J383" s="9"/>
    </row>
    <row r="384" spans="1:10" hidden="1" x14ac:dyDescent="0.25">
      <c r="A384" s="33">
        <v>285</v>
      </c>
      <c r="B384" s="21" t="s">
        <v>10</v>
      </c>
      <c r="C384" s="36">
        <f>SUM(D384:I384)</f>
        <v>0</v>
      </c>
      <c r="D384" s="36"/>
      <c r="E384" s="36"/>
      <c r="F384" s="36"/>
      <c r="G384" s="36"/>
      <c r="H384" s="36"/>
      <c r="I384" s="36"/>
      <c r="J384" s="9"/>
    </row>
    <row r="385" spans="1:10" hidden="1" x14ac:dyDescent="0.25">
      <c r="A385" s="33">
        <v>286</v>
      </c>
      <c r="B385" s="21" t="s">
        <v>11</v>
      </c>
      <c r="C385" s="36">
        <f>SUM(D385:I385)</f>
        <v>0</v>
      </c>
      <c r="D385" s="36"/>
      <c r="E385" s="36"/>
      <c r="F385" s="36"/>
      <c r="G385" s="36"/>
      <c r="H385" s="36"/>
      <c r="I385" s="36"/>
      <c r="J385" s="9"/>
    </row>
    <row r="386" spans="1:10" hidden="1" x14ac:dyDescent="0.25">
      <c r="A386" s="33">
        <v>287</v>
      </c>
      <c r="B386" s="21" t="s">
        <v>12</v>
      </c>
      <c r="C386" s="36">
        <f>SUM(D386:I386)</f>
        <v>0</v>
      </c>
      <c r="D386" s="36"/>
      <c r="E386" s="36"/>
      <c r="F386" s="36"/>
      <c r="G386" s="36"/>
      <c r="H386" s="36"/>
      <c r="I386" s="36"/>
      <c r="J386" s="9"/>
    </row>
    <row r="387" spans="1:10" ht="51" hidden="1" x14ac:dyDescent="0.25">
      <c r="A387" s="33">
        <v>288</v>
      </c>
      <c r="B387" s="21" t="s">
        <v>50</v>
      </c>
      <c r="C387" s="36"/>
      <c r="D387" s="36"/>
      <c r="E387" s="36"/>
      <c r="F387" s="36"/>
      <c r="G387" s="36"/>
      <c r="H387" s="36"/>
      <c r="I387" s="36"/>
      <c r="J387" s="9"/>
    </row>
    <row r="388" spans="1:10" hidden="1" x14ac:dyDescent="0.25">
      <c r="A388" s="33">
        <v>289</v>
      </c>
      <c r="B388" s="21" t="s">
        <v>10</v>
      </c>
      <c r="C388" s="36">
        <f>SUM(D388:I388)</f>
        <v>0</v>
      </c>
      <c r="D388" s="36"/>
      <c r="E388" s="36"/>
      <c r="F388" s="36"/>
      <c r="G388" s="36"/>
      <c r="H388" s="36"/>
      <c r="I388" s="36"/>
      <c r="J388" s="9"/>
    </row>
    <row r="389" spans="1:10" hidden="1" x14ac:dyDescent="0.25">
      <c r="A389" s="33">
        <v>290</v>
      </c>
      <c r="B389" s="21" t="s">
        <v>11</v>
      </c>
      <c r="C389" s="36">
        <f>SUM(D389:I389)</f>
        <v>0</v>
      </c>
      <c r="D389" s="36"/>
      <c r="E389" s="36"/>
      <c r="F389" s="36"/>
      <c r="G389" s="36"/>
      <c r="H389" s="36"/>
      <c r="I389" s="36"/>
      <c r="J389" s="9"/>
    </row>
    <row r="390" spans="1:10" hidden="1" x14ac:dyDescent="0.25">
      <c r="A390" s="33">
        <v>291</v>
      </c>
      <c r="B390" s="21" t="s">
        <v>12</v>
      </c>
      <c r="C390" s="36">
        <f>SUM(D390:I390)</f>
        <v>0</v>
      </c>
      <c r="D390" s="36"/>
      <c r="E390" s="36"/>
      <c r="F390" s="36"/>
      <c r="G390" s="36"/>
      <c r="H390" s="36"/>
      <c r="I390" s="36"/>
      <c r="J390" s="9"/>
    </row>
    <row r="391" spans="1:10" ht="51" hidden="1" x14ac:dyDescent="0.25">
      <c r="A391" s="33">
        <v>292</v>
      </c>
      <c r="B391" s="21" t="s">
        <v>51</v>
      </c>
      <c r="C391" s="36"/>
      <c r="D391" s="36"/>
      <c r="E391" s="36"/>
      <c r="F391" s="36"/>
      <c r="G391" s="36"/>
      <c r="H391" s="36"/>
      <c r="I391" s="36"/>
      <c r="J391" s="9"/>
    </row>
    <row r="392" spans="1:10" hidden="1" x14ac:dyDescent="0.25">
      <c r="A392" s="33">
        <v>293</v>
      </c>
      <c r="B392" s="21" t="s">
        <v>10</v>
      </c>
      <c r="C392" s="36">
        <f>SUM(D392:I392)</f>
        <v>0</v>
      </c>
      <c r="D392" s="36"/>
      <c r="E392" s="36"/>
      <c r="F392" s="36"/>
      <c r="G392" s="36"/>
      <c r="H392" s="36"/>
      <c r="I392" s="36"/>
      <c r="J392" s="9"/>
    </row>
    <row r="393" spans="1:10" hidden="1" x14ac:dyDescent="0.25">
      <c r="A393" s="33">
        <v>294</v>
      </c>
      <c r="B393" s="21" t="s">
        <v>11</v>
      </c>
      <c r="C393" s="36">
        <f>SUM(D393:I393)</f>
        <v>0</v>
      </c>
      <c r="D393" s="36"/>
      <c r="E393" s="36"/>
      <c r="F393" s="36"/>
      <c r="G393" s="36"/>
      <c r="H393" s="36"/>
      <c r="I393" s="36"/>
      <c r="J393" s="9"/>
    </row>
    <row r="394" spans="1:10" hidden="1" x14ac:dyDescent="0.25">
      <c r="A394" s="33">
        <v>295</v>
      </c>
      <c r="B394" s="21" t="s">
        <v>12</v>
      </c>
      <c r="C394" s="36">
        <f>SUM(D394:I394)</f>
        <v>0</v>
      </c>
      <c r="D394" s="36"/>
      <c r="E394" s="36"/>
      <c r="F394" s="36"/>
      <c r="G394" s="36"/>
      <c r="H394" s="36"/>
      <c r="I394" s="36"/>
      <c r="J394" s="9"/>
    </row>
    <row r="395" spans="1:10" ht="38.25" hidden="1" x14ac:dyDescent="0.25">
      <c r="A395" s="33">
        <v>296</v>
      </c>
      <c r="B395" s="21" t="s">
        <v>52</v>
      </c>
      <c r="C395" s="36"/>
      <c r="D395" s="36"/>
      <c r="E395" s="36"/>
      <c r="F395" s="36"/>
      <c r="G395" s="36"/>
      <c r="H395" s="36"/>
      <c r="I395" s="36"/>
      <c r="J395" s="9"/>
    </row>
    <row r="396" spans="1:10" hidden="1" x14ac:dyDescent="0.25">
      <c r="A396" s="33">
        <v>297</v>
      </c>
      <c r="B396" s="21" t="s">
        <v>10</v>
      </c>
      <c r="C396" s="36">
        <f>SUM(D396:I396)</f>
        <v>0</v>
      </c>
      <c r="D396" s="36"/>
      <c r="E396" s="36"/>
      <c r="F396" s="36"/>
      <c r="G396" s="36"/>
      <c r="H396" s="36"/>
      <c r="I396" s="36"/>
      <c r="J396" s="9"/>
    </row>
    <row r="397" spans="1:10" hidden="1" x14ac:dyDescent="0.25">
      <c r="A397" s="33">
        <v>298</v>
      </c>
      <c r="B397" s="21" t="s">
        <v>11</v>
      </c>
      <c r="C397" s="36">
        <f>SUM(D397:I397)</f>
        <v>0</v>
      </c>
      <c r="D397" s="36"/>
      <c r="E397" s="36"/>
      <c r="F397" s="36"/>
      <c r="G397" s="36"/>
      <c r="H397" s="36"/>
      <c r="I397" s="36"/>
      <c r="J397" s="9"/>
    </row>
    <row r="398" spans="1:10" hidden="1" x14ac:dyDescent="0.25">
      <c r="A398" s="33">
        <v>299</v>
      </c>
      <c r="B398" s="21" t="s">
        <v>12</v>
      </c>
      <c r="C398" s="36">
        <f>SUM(D398:I398)</f>
        <v>0</v>
      </c>
      <c r="D398" s="36"/>
      <c r="E398" s="36"/>
      <c r="F398" s="36"/>
      <c r="G398" s="36"/>
      <c r="H398" s="36"/>
      <c r="I398" s="36"/>
      <c r="J398" s="9"/>
    </row>
    <row r="399" spans="1:10" ht="94.5" x14ac:dyDescent="0.25">
      <c r="A399" s="33">
        <v>276</v>
      </c>
      <c r="B399" s="22" t="s">
        <v>103</v>
      </c>
      <c r="C399" s="2">
        <f>SUM(D399:I399)</f>
        <v>3060233.11</v>
      </c>
      <c r="D399" s="2">
        <f t="shared" ref="D399:I399" si="126">SUM(D401:D403)</f>
        <v>309148</v>
      </c>
      <c r="E399" s="2">
        <f t="shared" si="126"/>
        <v>425085.11</v>
      </c>
      <c r="F399" s="2">
        <f t="shared" si="126"/>
        <v>538000</v>
      </c>
      <c r="G399" s="2">
        <f t="shared" si="126"/>
        <v>538000</v>
      </c>
      <c r="H399" s="2">
        <f t="shared" si="126"/>
        <v>600000</v>
      </c>
      <c r="I399" s="2">
        <f t="shared" si="126"/>
        <v>650000</v>
      </c>
      <c r="J399" s="36" t="s">
        <v>76</v>
      </c>
    </row>
    <row r="400" spans="1:10" x14ac:dyDescent="0.25">
      <c r="A400" s="33">
        <v>277</v>
      </c>
      <c r="B400" s="9" t="s">
        <v>59</v>
      </c>
      <c r="C400" s="1">
        <f>SUM(D400:I400)</f>
        <v>0</v>
      </c>
      <c r="D400" s="1">
        <v>0</v>
      </c>
      <c r="E400" s="1">
        <v>0</v>
      </c>
      <c r="F400" s="1">
        <v>0</v>
      </c>
      <c r="G400" s="1">
        <v>0</v>
      </c>
      <c r="H400" s="1">
        <v>0</v>
      </c>
      <c r="I400" s="1">
        <v>0</v>
      </c>
      <c r="J400" s="9"/>
    </row>
    <row r="401" spans="1:10" x14ac:dyDescent="0.25">
      <c r="A401" s="33">
        <v>278</v>
      </c>
      <c r="B401" s="21" t="s">
        <v>10</v>
      </c>
      <c r="C401" s="1">
        <f t="shared" ref="C401:C416" si="127">SUM(D401:I401)</f>
        <v>0</v>
      </c>
      <c r="D401" s="1">
        <f t="shared" ref="D401:I402" si="128">(D405+D409+D413)*1000</f>
        <v>0</v>
      </c>
      <c r="E401" s="1">
        <f t="shared" si="128"/>
        <v>0</v>
      </c>
      <c r="F401" s="1">
        <f t="shared" si="128"/>
        <v>0</v>
      </c>
      <c r="G401" s="1">
        <f t="shared" si="128"/>
        <v>0</v>
      </c>
      <c r="H401" s="1">
        <f t="shared" si="128"/>
        <v>0</v>
      </c>
      <c r="I401" s="1">
        <f t="shared" si="128"/>
        <v>0</v>
      </c>
      <c r="J401" s="9"/>
    </row>
    <row r="402" spans="1:10" x14ac:dyDescent="0.25">
      <c r="A402" s="33">
        <v>279</v>
      </c>
      <c r="B402" s="21" t="s">
        <v>11</v>
      </c>
      <c r="C402" s="1">
        <f t="shared" si="127"/>
        <v>3060233.11</v>
      </c>
      <c r="D402" s="1">
        <f>(D406+D410+D414)*1000-100852</f>
        <v>309148</v>
      </c>
      <c r="E402" s="1">
        <f>(E406+E410+E414)*1000-17057-67857.89</f>
        <v>425085.11</v>
      </c>
      <c r="F402" s="1">
        <f t="shared" si="128"/>
        <v>538000</v>
      </c>
      <c r="G402" s="1">
        <f t="shared" si="128"/>
        <v>538000</v>
      </c>
      <c r="H402" s="1">
        <f t="shared" si="128"/>
        <v>600000</v>
      </c>
      <c r="I402" s="1">
        <f t="shared" si="128"/>
        <v>650000</v>
      </c>
      <c r="J402" s="9"/>
    </row>
    <row r="403" spans="1:10" x14ac:dyDescent="0.25">
      <c r="A403" s="33">
        <v>280</v>
      </c>
      <c r="B403" s="21" t="s">
        <v>12</v>
      </c>
      <c r="C403" s="1">
        <f t="shared" si="127"/>
        <v>0</v>
      </c>
      <c r="D403" s="1">
        <f t="shared" ref="D403:I403" si="129">(D407+D411+D415)*1000</f>
        <v>0</v>
      </c>
      <c r="E403" s="1">
        <f t="shared" si="129"/>
        <v>0</v>
      </c>
      <c r="F403" s="1">
        <f t="shared" si="129"/>
        <v>0</v>
      </c>
      <c r="G403" s="1">
        <f t="shared" si="129"/>
        <v>0</v>
      </c>
      <c r="H403" s="1">
        <f t="shared" si="129"/>
        <v>0</v>
      </c>
      <c r="I403" s="1">
        <f t="shared" si="129"/>
        <v>0</v>
      </c>
      <c r="J403" s="9"/>
    </row>
    <row r="404" spans="1:10" ht="25.5" hidden="1" x14ac:dyDescent="0.25">
      <c r="A404" s="33"/>
      <c r="B404" s="9" t="s">
        <v>53</v>
      </c>
      <c r="C404" s="3">
        <f t="shared" si="127"/>
        <v>46</v>
      </c>
      <c r="D404" s="3">
        <f t="shared" ref="D404:I404" si="130">SUM(D405:D407)</f>
        <v>5</v>
      </c>
      <c r="E404" s="3">
        <f t="shared" si="130"/>
        <v>5</v>
      </c>
      <c r="F404" s="3">
        <f t="shared" si="130"/>
        <v>8</v>
      </c>
      <c r="G404" s="3">
        <f t="shared" si="130"/>
        <v>8</v>
      </c>
      <c r="H404" s="3">
        <f t="shared" si="130"/>
        <v>10</v>
      </c>
      <c r="I404" s="3">
        <f t="shared" si="130"/>
        <v>10</v>
      </c>
      <c r="J404" s="9"/>
    </row>
    <row r="405" spans="1:10" hidden="1" x14ac:dyDescent="0.25">
      <c r="A405" s="33"/>
      <c r="B405" s="9" t="s">
        <v>10</v>
      </c>
      <c r="C405" s="1">
        <f t="shared" si="127"/>
        <v>0</v>
      </c>
      <c r="D405" s="1"/>
      <c r="E405" s="1"/>
      <c r="F405" s="1"/>
      <c r="G405" s="1"/>
      <c r="H405" s="1"/>
      <c r="I405" s="1"/>
      <c r="J405" s="9"/>
    </row>
    <row r="406" spans="1:10" hidden="1" x14ac:dyDescent="0.25">
      <c r="A406" s="33"/>
      <c r="B406" s="9" t="s">
        <v>11</v>
      </c>
      <c r="C406" s="1">
        <f t="shared" si="127"/>
        <v>46</v>
      </c>
      <c r="D406" s="1">
        <v>5</v>
      </c>
      <c r="E406" s="1">
        <v>5</v>
      </c>
      <c r="F406" s="1">
        <v>8</v>
      </c>
      <c r="G406" s="1">
        <v>8</v>
      </c>
      <c r="H406" s="1">
        <v>10</v>
      </c>
      <c r="I406" s="1">
        <v>10</v>
      </c>
      <c r="J406" s="9"/>
    </row>
    <row r="407" spans="1:10" hidden="1" x14ac:dyDescent="0.25">
      <c r="A407" s="33"/>
      <c r="B407" s="9" t="s">
        <v>12</v>
      </c>
      <c r="C407" s="1">
        <f t="shared" si="127"/>
        <v>0</v>
      </c>
      <c r="D407" s="1"/>
      <c r="E407" s="1"/>
      <c r="F407" s="1"/>
      <c r="G407" s="1"/>
      <c r="H407" s="1"/>
      <c r="I407" s="1"/>
      <c r="J407" s="9"/>
    </row>
    <row r="408" spans="1:10" ht="51" hidden="1" x14ac:dyDescent="0.25">
      <c r="A408" s="33"/>
      <c r="B408" s="9" t="s">
        <v>54</v>
      </c>
      <c r="C408" s="3">
        <f t="shared" si="127"/>
        <v>3010</v>
      </c>
      <c r="D408" s="3">
        <f t="shared" ref="D408:I408" si="131">SUM(D409:D411)</f>
        <v>380</v>
      </c>
      <c r="E408" s="3">
        <f t="shared" si="131"/>
        <v>480</v>
      </c>
      <c r="F408" s="3">
        <f t="shared" si="131"/>
        <v>500</v>
      </c>
      <c r="G408" s="3">
        <f t="shared" si="131"/>
        <v>500</v>
      </c>
      <c r="H408" s="3">
        <f t="shared" si="131"/>
        <v>550</v>
      </c>
      <c r="I408" s="3">
        <f t="shared" si="131"/>
        <v>600</v>
      </c>
      <c r="J408" s="9"/>
    </row>
    <row r="409" spans="1:10" hidden="1" x14ac:dyDescent="0.25">
      <c r="A409" s="33"/>
      <c r="B409" s="9" t="s">
        <v>10</v>
      </c>
      <c r="C409" s="1">
        <f t="shared" si="127"/>
        <v>0</v>
      </c>
      <c r="D409" s="1"/>
      <c r="E409" s="1"/>
      <c r="F409" s="1"/>
      <c r="G409" s="1"/>
      <c r="H409" s="1"/>
      <c r="I409" s="1"/>
      <c r="J409" s="9"/>
    </row>
    <row r="410" spans="1:10" hidden="1" x14ac:dyDescent="0.25">
      <c r="A410" s="33"/>
      <c r="B410" s="9" t="s">
        <v>11</v>
      </c>
      <c r="C410" s="1">
        <f t="shared" si="127"/>
        <v>3010</v>
      </c>
      <c r="D410" s="1">
        <f>460-80</f>
        <v>380</v>
      </c>
      <c r="E410" s="1">
        <v>480</v>
      </c>
      <c r="F410" s="1">
        <v>500</v>
      </c>
      <c r="G410" s="1">
        <v>500</v>
      </c>
      <c r="H410" s="1">
        <v>550</v>
      </c>
      <c r="I410" s="1">
        <v>600</v>
      </c>
      <c r="J410" s="9"/>
    </row>
    <row r="411" spans="1:10" hidden="1" x14ac:dyDescent="0.25">
      <c r="A411" s="33"/>
      <c r="B411" s="9" t="s">
        <v>12</v>
      </c>
      <c r="C411" s="1">
        <f t="shared" si="127"/>
        <v>0</v>
      </c>
      <c r="D411" s="1"/>
      <c r="E411" s="1"/>
      <c r="F411" s="1"/>
      <c r="G411" s="1"/>
      <c r="H411" s="1"/>
      <c r="I411" s="1"/>
      <c r="J411" s="9"/>
    </row>
    <row r="412" spans="1:10" ht="25.5" hidden="1" x14ac:dyDescent="0.25">
      <c r="A412" s="33"/>
      <c r="B412" s="9" t="s">
        <v>55</v>
      </c>
      <c r="C412" s="3">
        <f t="shared" si="127"/>
        <v>190</v>
      </c>
      <c r="D412" s="3">
        <f t="shared" ref="D412:I412" si="132">SUM(D413:D415)</f>
        <v>25</v>
      </c>
      <c r="E412" s="3">
        <f t="shared" si="132"/>
        <v>25</v>
      </c>
      <c r="F412" s="3">
        <f t="shared" si="132"/>
        <v>30</v>
      </c>
      <c r="G412" s="3">
        <f t="shared" si="132"/>
        <v>30</v>
      </c>
      <c r="H412" s="3">
        <f t="shared" si="132"/>
        <v>40</v>
      </c>
      <c r="I412" s="3">
        <f t="shared" si="132"/>
        <v>40</v>
      </c>
      <c r="J412" s="9"/>
    </row>
    <row r="413" spans="1:10" hidden="1" x14ac:dyDescent="0.25">
      <c r="A413" s="33"/>
      <c r="B413" s="9" t="s">
        <v>10</v>
      </c>
      <c r="C413" s="1">
        <f t="shared" si="127"/>
        <v>0</v>
      </c>
      <c r="D413" s="1"/>
      <c r="E413" s="1"/>
      <c r="F413" s="1"/>
      <c r="G413" s="1"/>
      <c r="H413" s="1"/>
      <c r="I413" s="1"/>
      <c r="J413" s="9"/>
    </row>
    <row r="414" spans="1:10" hidden="1" x14ac:dyDescent="0.25">
      <c r="A414" s="33"/>
      <c r="B414" s="9" t="s">
        <v>11</v>
      </c>
      <c r="C414" s="1">
        <f t="shared" si="127"/>
        <v>190</v>
      </c>
      <c r="D414" s="1">
        <v>25</v>
      </c>
      <c r="E414" s="1">
        <v>25</v>
      </c>
      <c r="F414" s="1">
        <v>30</v>
      </c>
      <c r="G414" s="1">
        <v>30</v>
      </c>
      <c r="H414" s="1">
        <v>40</v>
      </c>
      <c r="I414" s="1">
        <v>40</v>
      </c>
      <c r="J414" s="9"/>
    </row>
    <row r="415" spans="1:10" hidden="1" x14ac:dyDescent="0.25">
      <c r="A415" s="33"/>
      <c r="B415" s="9" t="s">
        <v>12</v>
      </c>
      <c r="C415" s="1">
        <f t="shared" si="127"/>
        <v>0</v>
      </c>
      <c r="D415" s="1"/>
      <c r="E415" s="1"/>
      <c r="F415" s="1"/>
      <c r="G415" s="1"/>
      <c r="H415" s="1"/>
      <c r="I415" s="1"/>
      <c r="J415" s="9"/>
    </row>
    <row r="416" spans="1:10" ht="81" x14ac:dyDescent="0.25">
      <c r="A416" s="33">
        <v>281</v>
      </c>
      <c r="B416" s="11" t="s">
        <v>104</v>
      </c>
      <c r="C416" s="2">
        <f t="shared" si="127"/>
        <v>90000</v>
      </c>
      <c r="D416" s="2">
        <f t="shared" ref="D416:I416" si="133">SUM(D418:D420)</f>
        <v>0</v>
      </c>
      <c r="E416" s="2">
        <f t="shared" si="133"/>
        <v>0</v>
      </c>
      <c r="F416" s="2">
        <f t="shared" si="133"/>
        <v>7000</v>
      </c>
      <c r="G416" s="2">
        <f t="shared" si="133"/>
        <v>34000</v>
      </c>
      <c r="H416" s="2">
        <f t="shared" si="133"/>
        <v>9000</v>
      </c>
      <c r="I416" s="2">
        <f t="shared" si="133"/>
        <v>40000</v>
      </c>
      <c r="J416" s="36" t="s">
        <v>76</v>
      </c>
    </row>
    <row r="417" spans="1:10" x14ac:dyDescent="0.25">
      <c r="A417" s="33">
        <v>282</v>
      </c>
      <c r="B417" s="9" t="s">
        <v>59</v>
      </c>
      <c r="C417" s="9">
        <f>SUM(D417:I417)</f>
        <v>0</v>
      </c>
      <c r="D417" s="9">
        <v>0</v>
      </c>
      <c r="E417" s="9">
        <v>0</v>
      </c>
      <c r="F417" s="9">
        <v>0</v>
      </c>
      <c r="G417" s="9">
        <v>0</v>
      </c>
      <c r="H417" s="9">
        <v>0</v>
      </c>
      <c r="I417" s="9">
        <v>0</v>
      </c>
      <c r="J417" s="9"/>
    </row>
    <row r="418" spans="1:10" x14ac:dyDescent="0.25">
      <c r="A418" s="33">
        <v>283</v>
      </c>
      <c r="B418" s="9" t="s">
        <v>10</v>
      </c>
      <c r="C418" s="9">
        <f t="shared" ref="C418:C432" si="134">SUM(D418:I418)</f>
        <v>0</v>
      </c>
      <c r="D418" s="9">
        <f t="shared" ref="D418:I419" si="135">(D422+D426+D430)*1000</f>
        <v>0</v>
      </c>
      <c r="E418" s="9">
        <f t="shared" si="135"/>
        <v>0</v>
      </c>
      <c r="F418" s="9">
        <f t="shared" si="135"/>
        <v>0</v>
      </c>
      <c r="G418" s="9">
        <f t="shared" si="135"/>
        <v>0</v>
      </c>
      <c r="H418" s="9">
        <f t="shared" si="135"/>
        <v>0</v>
      </c>
      <c r="I418" s="9">
        <f t="shared" si="135"/>
        <v>0</v>
      </c>
      <c r="J418" s="9"/>
    </row>
    <row r="419" spans="1:10" x14ac:dyDescent="0.25">
      <c r="A419" s="33">
        <v>284</v>
      </c>
      <c r="B419" s="9" t="s">
        <v>11</v>
      </c>
      <c r="C419" s="9">
        <f t="shared" si="134"/>
        <v>90000</v>
      </c>
      <c r="D419" s="9">
        <f>(D423+D427+D431)*1000-25000</f>
        <v>0</v>
      </c>
      <c r="E419" s="9">
        <f>(E423+E427+E431)*1000-27000</f>
        <v>0</v>
      </c>
      <c r="F419" s="9">
        <f t="shared" si="135"/>
        <v>7000</v>
      </c>
      <c r="G419" s="9">
        <f t="shared" si="135"/>
        <v>34000</v>
      </c>
      <c r="H419" s="9">
        <f t="shared" si="135"/>
        <v>9000</v>
      </c>
      <c r="I419" s="9">
        <f t="shared" si="135"/>
        <v>40000</v>
      </c>
      <c r="J419" s="9"/>
    </row>
    <row r="420" spans="1:10" x14ac:dyDescent="0.25">
      <c r="A420" s="33">
        <v>285</v>
      </c>
      <c r="B420" s="9" t="s">
        <v>12</v>
      </c>
      <c r="C420" s="9">
        <f t="shared" si="134"/>
        <v>0</v>
      </c>
      <c r="D420" s="9">
        <f t="shared" ref="D420:I420" si="136">(D424+D428+D432)*1000</f>
        <v>0</v>
      </c>
      <c r="E420" s="9">
        <f t="shared" si="136"/>
        <v>0</v>
      </c>
      <c r="F420" s="9">
        <f t="shared" si="136"/>
        <v>0</v>
      </c>
      <c r="G420" s="9">
        <f t="shared" si="136"/>
        <v>0</v>
      </c>
      <c r="H420" s="9">
        <f t="shared" si="136"/>
        <v>0</v>
      </c>
      <c r="I420" s="9">
        <f t="shared" si="136"/>
        <v>0</v>
      </c>
      <c r="J420" s="9"/>
    </row>
    <row r="421" spans="1:10" ht="63.75" hidden="1" x14ac:dyDescent="0.25">
      <c r="A421" s="33">
        <v>241</v>
      </c>
      <c r="B421" s="9" t="s">
        <v>56</v>
      </c>
      <c r="C421" s="36">
        <f t="shared" si="134"/>
        <v>0</v>
      </c>
      <c r="D421" s="36">
        <f t="shared" ref="D421:I421" si="137">SUM(D422:D424)</f>
        <v>0</v>
      </c>
      <c r="E421" s="36">
        <f t="shared" si="137"/>
        <v>0</v>
      </c>
      <c r="F421" s="36">
        <f t="shared" si="137"/>
        <v>0</v>
      </c>
      <c r="G421" s="36">
        <f t="shared" si="137"/>
        <v>0</v>
      </c>
      <c r="H421" s="36">
        <f t="shared" si="137"/>
        <v>0</v>
      </c>
      <c r="I421" s="36">
        <f t="shared" si="137"/>
        <v>0</v>
      </c>
      <c r="J421" s="9"/>
    </row>
    <row r="422" spans="1:10" hidden="1" x14ac:dyDescent="0.25">
      <c r="A422" s="33">
        <v>242</v>
      </c>
      <c r="B422" s="9" t="s">
        <v>10</v>
      </c>
      <c r="C422" s="36">
        <f t="shared" si="134"/>
        <v>0</v>
      </c>
      <c r="D422" s="36"/>
      <c r="E422" s="36"/>
      <c r="F422" s="36"/>
      <c r="G422" s="36"/>
      <c r="H422" s="36"/>
      <c r="I422" s="36"/>
      <c r="J422" s="9"/>
    </row>
    <row r="423" spans="1:10" hidden="1" x14ac:dyDescent="0.25">
      <c r="A423" s="33">
        <v>243</v>
      </c>
      <c r="B423" s="9" t="s">
        <v>11</v>
      </c>
      <c r="C423" s="36">
        <f t="shared" si="134"/>
        <v>0</v>
      </c>
      <c r="D423" s="36"/>
      <c r="E423" s="36"/>
      <c r="F423" s="36"/>
      <c r="G423" s="36"/>
      <c r="H423" s="36"/>
      <c r="I423" s="36"/>
      <c r="J423" s="9"/>
    </row>
    <row r="424" spans="1:10" hidden="1" x14ac:dyDescent="0.25">
      <c r="A424" s="33">
        <v>244</v>
      </c>
      <c r="B424" s="9" t="s">
        <v>12</v>
      </c>
      <c r="C424" s="36">
        <f t="shared" si="134"/>
        <v>0</v>
      </c>
      <c r="D424" s="36"/>
      <c r="E424" s="36"/>
      <c r="F424" s="36"/>
      <c r="G424" s="36"/>
      <c r="H424" s="36"/>
      <c r="I424" s="36"/>
      <c r="J424" s="9"/>
    </row>
    <row r="425" spans="1:10" ht="51" hidden="1" x14ac:dyDescent="0.25">
      <c r="A425" s="33">
        <v>245</v>
      </c>
      <c r="B425" s="9" t="s">
        <v>57</v>
      </c>
      <c r="C425" s="36">
        <f t="shared" si="134"/>
        <v>95</v>
      </c>
      <c r="D425" s="35">
        <f t="shared" ref="D425:I425" si="138">SUM(D426:D428)</f>
        <v>20</v>
      </c>
      <c r="E425" s="35">
        <f t="shared" si="138"/>
        <v>20</v>
      </c>
      <c r="F425" s="35">
        <f t="shared" si="138"/>
        <v>0</v>
      </c>
      <c r="G425" s="35">
        <f t="shared" si="138"/>
        <v>25</v>
      </c>
      <c r="H425" s="35">
        <f t="shared" si="138"/>
        <v>0</v>
      </c>
      <c r="I425" s="35">
        <f t="shared" si="138"/>
        <v>30</v>
      </c>
      <c r="J425" s="9"/>
    </row>
    <row r="426" spans="1:10" hidden="1" x14ac:dyDescent="0.25">
      <c r="A426" s="33">
        <v>246</v>
      </c>
      <c r="B426" s="9" t="s">
        <v>10</v>
      </c>
      <c r="C426" s="36">
        <f t="shared" si="134"/>
        <v>0</v>
      </c>
      <c r="D426" s="36"/>
      <c r="E426" s="36"/>
      <c r="F426" s="36"/>
      <c r="G426" s="36"/>
      <c r="H426" s="36"/>
      <c r="I426" s="36"/>
      <c r="J426" s="9"/>
    </row>
    <row r="427" spans="1:10" hidden="1" x14ac:dyDescent="0.25">
      <c r="A427" s="33">
        <v>247</v>
      </c>
      <c r="B427" s="9" t="s">
        <v>11</v>
      </c>
      <c r="C427" s="36">
        <f t="shared" si="134"/>
        <v>95</v>
      </c>
      <c r="D427" s="36">
        <v>20</v>
      </c>
      <c r="E427" s="36">
        <v>20</v>
      </c>
      <c r="F427" s="36"/>
      <c r="G427" s="36">
        <v>25</v>
      </c>
      <c r="H427" s="36"/>
      <c r="I427" s="36">
        <v>30</v>
      </c>
      <c r="J427" s="9"/>
    </row>
    <row r="428" spans="1:10" hidden="1" x14ac:dyDescent="0.25">
      <c r="A428" s="33">
        <v>248</v>
      </c>
      <c r="B428" s="9" t="s">
        <v>12</v>
      </c>
      <c r="C428" s="36">
        <f t="shared" si="134"/>
        <v>0</v>
      </c>
      <c r="D428" s="36"/>
      <c r="E428" s="36"/>
      <c r="F428" s="36"/>
      <c r="G428" s="36"/>
      <c r="H428" s="36"/>
      <c r="I428" s="36"/>
      <c r="J428" s="9"/>
    </row>
    <row r="429" spans="1:10" ht="51" hidden="1" x14ac:dyDescent="0.25">
      <c r="A429" s="33">
        <v>249</v>
      </c>
      <c r="B429" s="9" t="s">
        <v>58</v>
      </c>
      <c r="C429" s="36">
        <f t="shared" si="134"/>
        <v>47</v>
      </c>
      <c r="D429" s="35">
        <f t="shared" ref="D429:I429" si="139">SUM(D430:D432)</f>
        <v>5</v>
      </c>
      <c r="E429" s="35">
        <f t="shared" si="139"/>
        <v>7</v>
      </c>
      <c r="F429" s="35">
        <f t="shared" si="139"/>
        <v>7</v>
      </c>
      <c r="G429" s="35">
        <f t="shared" si="139"/>
        <v>9</v>
      </c>
      <c r="H429" s="35">
        <f t="shared" si="139"/>
        <v>9</v>
      </c>
      <c r="I429" s="35">
        <f t="shared" si="139"/>
        <v>10</v>
      </c>
      <c r="J429" s="9"/>
    </row>
    <row r="430" spans="1:10" hidden="1" x14ac:dyDescent="0.25">
      <c r="A430" s="33">
        <v>250</v>
      </c>
      <c r="B430" s="9" t="s">
        <v>10</v>
      </c>
      <c r="C430" s="36">
        <f t="shared" si="134"/>
        <v>0</v>
      </c>
      <c r="D430" s="36"/>
      <c r="E430" s="36"/>
      <c r="F430" s="36"/>
      <c r="G430" s="36"/>
      <c r="H430" s="36"/>
      <c r="I430" s="36"/>
      <c r="J430" s="9"/>
    </row>
    <row r="431" spans="1:10" hidden="1" x14ac:dyDescent="0.25">
      <c r="A431" s="33">
        <v>251</v>
      </c>
      <c r="B431" s="9" t="s">
        <v>11</v>
      </c>
      <c r="C431" s="36">
        <f t="shared" si="134"/>
        <v>47</v>
      </c>
      <c r="D431" s="36">
        <v>5</v>
      </c>
      <c r="E431" s="36">
        <v>7</v>
      </c>
      <c r="F431" s="36">
        <v>7</v>
      </c>
      <c r="G431" s="36">
        <v>9</v>
      </c>
      <c r="H431" s="36">
        <v>9</v>
      </c>
      <c r="I431" s="36">
        <v>10</v>
      </c>
      <c r="J431" s="9"/>
    </row>
    <row r="432" spans="1:10" hidden="1" x14ac:dyDescent="0.25">
      <c r="A432" s="33">
        <v>252</v>
      </c>
      <c r="B432" s="9" t="s">
        <v>12</v>
      </c>
      <c r="C432" s="36">
        <f t="shared" si="134"/>
        <v>0</v>
      </c>
      <c r="D432" s="36"/>
      <c r="E432" s="36"/>
      <c r="F432" s="36"/>
      <c r="G432" s="36"/>
      <c r="H432" s="36"/>
      <c r="I432" s="36"/>
      <c r="J432" s="9"/>
    </row>
    <row r="433" spans="1:10" ht="27" customHeight="1" x14ac:dyDescent="0.25">
      <c r="A433" s="33">
        <v>286</v>
      </c>
      <c r="B433" s="206" t="s">
        <v>18</v>
      </c>
      <c r="C433" s="207"/>
      <c r="D433" s="207"/>
      <c r="E433" s="207"/>
      <c r="F433" s="207"/>
      <c r="G433" s="207"/>
      <c r="H433" s="207"/>
      <c r="I433" s="207"/>
      <c r="J433" s="208"/>
    </row>
    <row r="434" spans="1:10" x14ac:dyDescent="0.25">
      <c r="A434" s="33">
        <v>287</v>
      </c>
      <c r="B434" s="206" t="s">
        <v>89</v>
      </c>
      <c r="C434" s="207"/>
      <c r="D434" s="207"/>
      <c r="E434" s="207"/>
      <c r="F434" s="207"/>
      <c r="G434" s="207"/>
      <c r="H434" s="207"/>
      <c r="I434" s="207"/>
      <c r="J434" s="208"/>
    </row>
    <row r="435" spans="1:10" x14ac:dyDescent="0.25">
      <c r="A435" s="33">
        <v>288</v>
      </c>
      <c r="B435" s="13" t="s">
        <v>14</v>
      </c>
      <c r="C435" s="3">
        <f>SUM(D435:I435)</f>
        <v>50679644.420000002</v>
      </c>
      <c r="D435" s="3">
        <f t="shared" ref="D435:I435" si="140">SUM(D437:D439)</f>
        <v>7816954.1299999999</v>
      </c>
      <c r="E435" s="3">
        <f t="shared" si="140"/>
        <v>7820589.29</v>
      </c>
      <c r="F435" s="3">
        <f t="shared" si="140"/>
        <v>8343793</v>
      </c>
      <c r="G435" s="3">
        <f t="shared" si="140"/>
        <v>8899436</v>
      </c>
      <c r="H435" s="3">
        <f t="shared" si="140"/>
        <v>8899436</v>
      </c>
      <c r="I435" s="3">
        <f t="shared" si="140"/>
        <v>8899436</v>
      </c>
      <c r="J435" s="36"/>
    </row>
    <row r="436" spans="1:10" x14ac:dyDescent="0.25">
      <c r="A436" s="33">
        <v>289</v>
      </c>
      <c r="B436" s="9" t="s">
        <v>59</v>
      </c>
      <c r="C436" s="1">
        <f>SUM(D436:I436)</f>
        <v>0</v>
      </c>
      <c r="D436" s="1">
        <f>D442+D448</f>
        <v>0</v>
      </c>
      <c r="E436" s="1">
        <f t="shared" ref="E436:I436" si="141">E442+E448</f>
        <v>0</v>
      </c>
      <c r="F436" s="1">
        <f t="shared" si="141"/>
        <v>0</v>
      </c>
      <c r="G436" s="1">
        <f t="shared" si="141"/>
        <v>0</v>
      </c>
      <c r="H436" s="1">
        <f t="shared" si="141"/>
        <v>0</v>
      </c>
      <c r="I436" s="1">
        <f t="shared" si="141"/>
        <v>0</v>
      </c>
      <c r="J436" s="36"/>
    </row>
    <row r="437" spans="1:10" x14ac:dyDescent="0.25">
      <c r="A437" s="33">
        <v>290</v>
      </c>
      <c r="B437" s="9" t="s">
        <v>10</v>
      </c>
      <c r="C437" s="1">
        <f>SUM(D437:I437)</f>
        <v>0</v>
      </c>
      <c r="D437" s="1">
        <f t="shared" ref="D437:I439" si="142">D443+D449</f>
        <v>0</v>
      </c>
      <c r="E437" s="1">
        <f t="shared" si="142"/>
        <v>0</v>
      </c>
      <c r="F437" s="1">
        <f t="shared" si="142"/>
        <v>0</v>
      </c>
      <c r="G437" s="1">
        <f t="shared" si="142"/>
        <v>0</v>
      </c>
      <c r="H437" s="1">
        <f t="shared" si="142"/>
        <v>0</v>
      </c>
      <c r="I437" s="1">
        <f t="shared" si="142"/>
        <v>0</v>
      </c>
      <c r="J437" s="36"/>
    </row>
    <row r="438" spans="1:10" x14ac:dyDescent="0.25">
      <c r="A438" s="33">
        <v>291</v>
      </c>
      <c r="B438" s="9" t="s">
        <v>11</v>
      </c>
      <c r="C438" s="9">
        <f>SUM(D438:I438)</f>
        <v>50679644.420000002</v>
      </c>
      <c r="D438" s="9">
        <f t="shared" si="142"/>
        <v>7816954.1299999999</v>
      </c>
      <c r="E438" s="9">
        <f t="shared" si="142"/>
        <v>7820589.29</v>
      </c>
      <c r="F438" s="9">
        <f t="shared" si="142"/>
        <v>8343793</v>
      </c>
      <c r="G438" s="9">
        <f t="shared" si="142"/>
        <v>8899436</v>
      </c>
      <c r="H438" s="9">
        <f t="shared" si="142"/>
        <v>8899436</v>
      </c>
      <c r="I438" s="9">
        <f t="shared" si="142"/>
        <v>8899436</v>
      </c>
      <c r="J438" s="36"/>
    </row>
    <row r="439" spans="1:10" x14ac:dyDescent="0.25">
      <c r="A439" s="33">
        <v>292</v>
      </c>
      <c r="B439" s="9" t="s">
        <v>12</v>
      </c>
      <c r="C439" s="9">
        <f>SUM(D439:I439)</f>
        <v>0</v>
      </c>
      <c r="D439" s="9">
        <f t="shared" si="142"/>
        <v>0</v>
      </c>
      <c r="E439" s="9">
        <f t="shared" si="142"/>
        <v>0</v>
      </c>
      <c r="F439" s="9">
        <f t="shared" si="142"/>
        <v>0</v>
      </c>
      <c r="G439" s="9">
        <f t="shared" si="142"/>
        <v>0</v>
      </c>
      <c r="H439" s="9">
        <f t="shared" si="142"/>
        <v>0</v>
      </c>
      <c r="I439" s="9">
        <f t="shared" si="142"/>
        <v>0</v>
      </c>
      <c r="J439" s="36"/>
    </row>
    <row r="440" spans="1:10" x14ac:dyDescent="0.25">
      <c r="A440" s="33">
        <v>293</v>
      </c>
      <c r="B440" s="203" t="s">
        <v>60</v>
      </c>
      <c r="C440" s="204"/>
      <c r="D440" s="204"/>
      <c r="E440" s="204"/>
      <c r="F440" s="204"/>
      <c r="G440" s="204"/>
      <c r="H440" s="204"/>
      <c r="I440" s="204"/>
      <c r="J440" s="205"/>
    </row>
    <row r="441" spans="1:10" ht="25.5" x14ac:dyDescent="0.25">
      <c r="A441" s="33">
        <v>294</v>
      </c>
      <c r="B441" s="16" t="s">
        <v>62</v>
      </c>
      <c r="C441" s="35">
        <f>SUM(D441:I441)</f>
        <v>0</v>
      </c>
      <c r="D441" s="3">
        <f t="shared" ref="D441:I441" si="143">SUM(D443:D445)</f>
        <v>0</v>
      </c>
      <c r="E441" s="3">
        <f t="shared" si="143"/>
        <v>0</v>
      </c>
      <c r="F441" s="3">
        <f t="shared" si="143"/>
        <v>0</v>
      </c>
      <c r="G441" s="3">
        <f t="shared" si="143"/>
        <v>0</v>
      </c>
      <c r="H441" s="3">
        <f t="shared" si="143"/>
        <v>0</v>
      </c>
      <c r="I441" s="3">
        <f t="shared" si="143"/>
        <v>0</v>
      </c>
      <c r="J441" s="36"/>
    </row>
    <row r="442" spans="1:10" x14ac:dyDescent="0.25">
      <c r="A442" s="33">
        <v>295</v>
      </c>
      <c r="B442" s="9" t="s">
        <v>59</v>
      </c>
      <c r="C442" s="36">
        <f>SUM(D442:I442)</f>
        <v>0</v>
      </c>
      <c r="D442" s="1">
        <f>D448</f>
        <v>0</v>
      </c>
      <c r="E442" s="1">
        <f t="shared" ref="E442:I442" si="144">E448</f>
        <v>0</v>
      </c>
      <c r="F442" s="1">
        <f t="shared" si="144"/>
        <v>0</v>
      </c>
      <c r="G442" s="1">
        <f t="shared" si="144"/>
        <v>0</v>
      </c>
      <c r="H442" s="1">
        <f t="shared" si="144"/>
        <v>0</v>
      </c>
      <c r="I442" s="1">
        <f t="shared" si="144"/>
        <v>0</v>
      </c>
      <c r="J442" s="36"/>
    </row>
    <row r="443" spans="1:10" x14ac:dyDescent="0.25">
      <c r="A443" s="33">
        <v>296</v>
      </c>
      <c r="B443" s="17" t="s">
        <v>10</v>
      </c>
      <c r="C443" s="36">
        <f>SUM(D443:I443)</f>
        <v>0</v>
      </c>
      <c r="D443" s="1">
        <f t="shared" ref="D443:I443" si="145">D449</f>
        <v>0</v>
      </c>
      <c r="E443" s="1">
        <f t="shared" si="145"/>
        <v>0</v>
      </c>
      <c r="F443" s="1">
        <f t="shared" si="145"/>
        <v>0</v>
      </c>
      <c r="G443" s="1">
        <f t="shared" si="145"/>
        <v>0</v>
      </c>
      <c r="H443" s="1">
        <f t="shared" si="145"/>
        <v>0</v>
      </c>
      <c r="I443" s="1">
        <f t="shared" si="145"/>
        <v>0</v>
      </c>
      <c r="J443" s="36"/>
    </row>
    <row r="444" spans="1:10" x14ac:dyDescent="0.25">
      <c r="A444" s="33">
        <v>297</v>
      </c>
      <c r="B444" s="17" t="s">
        <v>11</v>
      </c>
      <c r="C444" s="36">
        <f>SUM(D444:I444)</f>
        <v>0</v>
      </c>
      <c r="D444" s="1">
        <v>0</v>
      </c>
      <c r="E444" s="1">
        <v>0</v>
      </c>
      <c r="F444" s="1">
        <v>0</v>
      </c>
      <c r="G444" s="1">
        <v>0</v>
      </c>
      <c r="H444" s="1">
        <v>0</v>
      </c>
      <c r="I444" s="1">
        <v>0</v>
      </c>
      <c r="J444" s="36"/>
    </row>
    <row r="445" spans="1:10" x14ac:dyDescent="0.25">
      <c r="A445" s="33">
        <v>298</v>
      </c>
      <c r="B445" s="17" t="s">
        <v>12</v>
      </c>
      <c r="C445" s="36">
        <f>SUM(D445:I445)</f>
        <v>0</v>
      </c>
      <c r="D445" s="1">
        <f t="shared" ref="D445:I445" si="146">D451</f>
        <v>0</v>
      </c>
      <c r="E445" s="1">
        <f t="shared" si="146"/>
        <v>0</v>
      </c>
      <c r="F445" s="1">
        <f t="shared" si="146"/>
        <v>0</v>
      </c>
      <c r="G445" s="1">
        <f t="shared" si="146"/>
        <v>0</v>
      </c>
      <c r="H445" s="1">
        <f t="shared" si="146"/>
        <v>0</v>
      </c>
      <c r="I445" s="1">
        <f t="shared" si="146"/>
        <v>0</v>
      </c>
      <c r="J445" s="36"/>
    </row>
    <row r="446" spans="1:10" x14ac:dyDescent="0.25">
      <c r="A446" s="33">
        <v>299</v>
      </c>
      <c r="B446" s="203" t="s">
        <v>61</v>
      </c>
      <c r="C446" s="204"/>
      <c r="D446" s="204"/>
      <c r="E446" s="204"/>
      <c r="F446" s="204"/>
      <c r="G446" s="204"/>
      <c r="H446" s="204"/>
      <c r="I446" s="204"/>
      <c r="J446" s="205"/>
    </row>
    <row r="447" spans="1:10" ht="25.5" x14ac:dyDescent="0.25">
      <c r="A447" s="33">
        <v>300</v>
      </c>
      <c r="B447" s="16" t="s">
        <v>71</v>
      </c>
      <c r="C447" s="3">
        <f t="shared" ref="C447:C460" si="147">SUM(D447:I447)</f>
        <v>50679644.420000002</v>
      </c>
      <c r="D447" s="3">
        <f t="shared" ref="D447:I447" si="148">SUM(D449:D451)</f>
        <v>7816954.1299999999</v>
      </c>
      <c r="E447" s="3">
        <f t="shared" si="148"/>
        <v>7820589.29</v>
      </c>
      <c r="F447" s="3">
        <f t="shared" si="148"/>
        <v>8343793</v>
      </c>
      <c r="G447" s="3">
        <f t="shared" si="148"/>
        <v>8899436</v>
      </c>
      <c r="H447" s="3">
        <f t="shared" si="148"/>
        <v>8899436</v>
      </c>
      <c r="I447" s="3">
        <f t="shared" si="148"/>
        <v>8899436</v>
      </c>
      <c r="J447" s="36"/>
    </row>
    <row r="448" spans="1:10" x14ac:dyDescent="0.25">
      <c r="A448" s="33">
        <v>301</v>
      </c>
      <c r="B448" s="9" t="s">
        <v>59</v>
      </c>
      <c r="C448" s="1">
        <f t="shared" si="147"/>
        <v>0</v>
      </c>
      <c r="D448" s="1">
        <f>D453+D458</f>
        <v>0</v>
      </c>
      <c r="E448" s="1">
        <f t="shared" ref="E448:I448" si="149">E453+E458</f>
        <v>0</v>
      </c>
      <c r="F448" s="1">
        <f t="shared" si="149"/>
        <v>0</v>
      </c>
      <c r="G448" s="1">
        <f t="shared" si="149"/>
        <v>0</v>
      </c>
      <c r="H448" s="1">
        <f t="shared" si="149"/>
        <v>0</v>
      </c>
      <c r="I448" s="1">
        <f t="shared" si="149"/>
        <v>0</v>
      </c>
      <c r="J448" s="36"/>
    </row>
    <row r="449" spans="1:10" x14ac:dyDescent="0.25">
      <c r="A449" s="33">
        <v>302</v>
      </c>
      <c r="B449" s="17" t="s">
        <v>10</v>
      </c>
      <c r="C449" s="1">
        <f t="shared" si="147"/>
        <v>0</v>
      </c>
      <c r="D449" s="1">
        <f t="shared" ref="D449:I451" si="150">D454+D459</f>
        <v>0</v>
      </c>
      <c r="E449" s="1">
        <f t="shared" si="150"/>
        <v>0</v>
      </c>
      <c r="F449" s="1">
        <f t="shared" si="150"/>
        <v>0</v>
      </c>
      <c r="G449" s="1">
        <f t="shared" si="150"/>
        <v>0</v>
      </c>
      <c r="H449" s="1">
        <f t="shared" si="150"/>
        <v>0</v>
      </c>
      <c r="I449" s="1">
        <f t="shared" si="150"/>
        <v>0</v>
      </c>
      <c r="J449" s="36"/>
    </row>
    <row r="450" spans="1:10" x14ac:dyDescent="0.25">
      <c r="A450" s="33">
        <v>303</v>
      </c>
      <c r="B450" s="17" t="s">
        <v>11</v>
      </c>
      <c r="C450" s="1">
        <f t="shared" si="147"/>
        <v>50679644.420000002</v>
      </c>
      <c r="D450" s="1">
        <f t="shared" si="150"/>
        <v>7816954.1299999999</v>
      </c>
      <c r="E450" s="1">
        <f t="shared" si="150"/>
        <v>7820589.29</v>
      </c>
      <c r="F450" s="1">
        <f t="shared" si="150"/>
        <v>8343793</v>
      </c>
      <c r="G450" s="1">
        <f t="shared" si="150"/>
        <v>8899436</v>
      </c>
      <c r="H450" s="1">
        <f t="shared" si="150"/>
        <v>8899436</v>
      </c>
      <c r="I450" s="1">
        <f t="shared" si="150"/>
        <v>8899436</v>
      </c>
      <c r="J450" s="36"/>
    </row>
    <row r="451" spans="1:10" x14ac:dyDescent="0.25">
      <c r="A451" s="33">
        <v>304</v>
      </c>
      <c r="B451" s="17" t="s">
        <v>12</v>
      </c>
      <c r="C451" s="1">
        <f t="shared" si="147"/>
        <v>0</v>
      </c>
      <c r="D451" s="1">
        <f t="shared" si="150"/>
        <v>0</v>
      </c>
      <c r="E451" s="1">
        <f t="shared" si="150"/>
        <v>0</v>
      </c>
      <c r="F451" s="1">
        <f t="shared" si="150"/>
        <v>0</v>
      </c>
      <c r="G451" s="1">
        <f t="shared" si="150"/>
        <v>0</v>
      </c>
      <c r="H451" s="1">
        <f t="shared" si="150"/>
        <v>0</v>
      </c>
      <c r="I451" s="1">
        <f t="shared" si="150"/>
        <v>0</v>
      </c>
      <c r="J451" s="36"/>
    </row>
    <row r="452" spans="1:10" ht="67.5" x14ac:dyDescent="0.25">
      <c r="A452" s="33">
        <v>305</v>
      </c>
      <c r="B452" s="11" t="s">
        <v>112</v>
      </c>
      <c r="C452" s="2">
        <f t="shared" si="147"/>
        <v>7672783.29</v>
      </c>
      <c r="D452" s="2">
        <f t="shared" ref="D452:I452" si="151">SUM(D454:D456)</f>
        <v>1295986.29</v>
      </c>
      <c r="E452" s="2">
        <f t="shared" si="151"/>
        <v>1296178</v>
      </c>
      <c r="F452" s="2">
        <f t="shared" si="151"/>
        <v>1192682</v>
      </c>
      <c r="G452" s="2">
        <f t="shared" si="151"/>
        <v>1295979</v>
      </c>
      <c r="H452" s="2">
        <f t="shared" si="151"/>
        <v>1295979</v>
      </c>
      <c r="I452" s="2">
        <f t="shared" si="151"/>
        <v>1295979</v>
      </c>
      <c r="J452" s="36" t="s">
        <v>77</v>
      </c>
    </row>
    <row r="453" spans="1:10" x14ac:dyDescent="0.25">
      <c r="A453" s="33">
        <v>306</v>
      </c>
      <c r="B453" s="9" t="s">
        <v>59</v>
      </c>
      <c r="C453" s="1">
        <f t="shared" si="147"/>
        <v>0</v>
      </c>
      <c r="D453" s="1">
        <v>0</v>
      </c>
      <c r="E453" s="1">
        <v>0</v>
      </c>
      <c r="F453" s="1">
        <v>0</v>
      </c>
      <c r="G453" s="1">
        <v>0</v>
      </c>
      <c r="H453" s="1">
        <v>0</v>
      </c>
      <c r="I453" s="1">
        <v>0</v>
      </c>
      <c r="J453" s="36"/>
    </row>
    <row r="454" spans="1:10" x14ac:dyDescent="0.25">
      <c r="A454" s="33">
        <v>307</v>
      </c>
      <c r="B454" s="9" t="s">
        <v>10</v>
      </c>
      <c r="C454" s="1">
        <f t="shared" si="147"/>
        <v>0</v>
      </c>
      <c r="D454" s="1">
        <v>0</v>
      </c>
      <c r="E454" s="1">
        <v>0</v>
      </c>
      <c r="F454" s="1">
        <v>0</v>
      </c>
      <c r="G454" s="1">
        <v>0</v>
      </c>
      <c r="H454" s="1">
        <v>0</v>
      </c>
      <c r="I454" s="1">
        <v>0</v>
      </c>
      <c r="J454" s="36"/>
    </row>
    <row r="455" spans="1:10" x14ac:dyDescent="0.25">
      <c r="A455" s="33">
        <v>308</v>
      </c>
      <c r="B455" s="9" t="s">
        <v>11</v>
      </c>
      <c r="C455" s="1">
        <f t="shared" si="147"/>
        <v>7672783.29</v>
      </c>
      <c r="D455" s="1">
        <f>1192682-74076.04+177380.33</f>
        <v>1295986.29</v>
      </c>
      <c r="E455" s="1">
        <f>1192682-64290.78+167786.78</f>
        <v>1296178</v>
      </c>
      <c r="F455" s="1">
        <v>1192682</v>
      </c>
      <c r="G455" s="1">
        <f t="shared" ref="G455:I455" si="152">1195984+99995</f>
        <v>1295979</v>
      </c>
      <c r="H455" s="1">
        <f t="shared" si="152"/>
        <v>1295979</v>
      </c>
      <c r="I455" s="1">
        <f t="shared" si="152"/>
        <v>1295979</v>
      </c>
      <c r="J455" s="36"/>
    </row>
    <row r="456" spans="1:10" x14ac:dyDescent="0.25">
      <c r="A456" s="33">
        <v>309</v>
      </c>
      <c r="B456" s="9" t="s">
        <v>12</v>
      </c>
      <c r="C456" s="1">
        <f t="shared" si="147"/>
        <v>0</v>
      </c>
      <c r="D456" s="1">
        <v>0</v>
      </c>
      <c r="E456" s="1">
        <v>0</v>
      </c>
      <c r="F456" s="1">
        <v>0</v>
      </c>
      <c r="G456" s="1">
        <v>0</v>
      </c>
      <c r="H456" s="1">
        <v>0</v>
      </c>
      <c r="I456" s="1">
        <v>0</v>
      </c>
      <c r="J456" s="36"/>
    </row>
    <row r="457" spans="1:10" ht="67.5" x14ac:dyDescent="0.25">
      <c r="A457" s="33">
        <v>310</v>
      </c>
      <c r="B457" s="11" t="s">
        <v>105</v>
      </c>
      <c r="C457" s="2">
        <f t="shared" si="147"/>
        <v>43006861.129999995</v>
      </c>
      <c r="D457" s="2">
        <f t="shared" ref="D457:I457" si="153">SUM(D459:D461)</f>
        <v>6520967.8399999999</v>
      </c>
      <c r="E457" s="2">
        <f t="shared" si="153"/>
        <v>6524411.29</v>
      </c>
      <c r="F457" s="2">
        <f t="shared" si="153"/>
        <v>7151111</v>
      </c>
      <c r="G457" s="2">
        <f t="shared" si="153"/>
        <v>7603457</v>
      </c>
      <c r="H457" s="2">
        <f t="shared" si="153"/>
        <v>7603457</v>
      </c>
      <c r="I457" s="2">
        <f t="shared" si="153"/>
        <v>7603457</v>
      </c>
      <c r="J457" s="36" t="s">
        <v>77</v>
      </c>
    </row>
    <row r="458" spans="1:10" x14ac:dyDescent="0.25">
      <c r="A458" s="33">
        <v>311</v>
      </c>
      <c r="B458" s="9" t="s">
        <v>59</v>
      </c>
      <c r="C458" s="1">
        <f t="shared" si="147"/>
        <v>0</v>
      </c>
      <c r="D458" s="1">
        <v>0</v>
      </c>
      <c r="E458" s="1">
        <v>0</v>
      </c>
      <c r="F458" s="1">
        <v>0</v>
      </c>
      <c r="G458" s="1">
        <v>0</v>
      </c>
      <c r="H458" s="1">
        <v>0</v>
      </c>
      <c r="I458" s="1">
        <v>0</v>
      </c>
      <c r="J458" s="36"/>
    </row>
    <row r="459" spans="1:10" x14ac:dyDescent="0.25">
      <c r="A459" s="33">
        <v>312</v>
      </c>
      <c r="B459" s="9" t="s">
        <v>10</v>
      </c>
      <c r="C459" s="1">
        <f t="shared" si="147"/>
        <v>0</v>
      </c>
      <c r="D459" s="1">
        <v>0</v>
      </c>
      <c r="E459" s="1">
        <v>0</v>
      </c>
      <c r="F459" s="1">
        <v>0</v>
      </c>
      <c r="G459" s="1">
        <v>0</v>
      </c>
      <c r="H459" s="1">
        <v>0</v>
      </c>
      <c r="I459" s="1">
        <v>0</v>
      </c>
      <c r="J459" s="36"/>
    </row>
    <row r="460" spans="1:10" x14ac:dyDescent="0.25">
      <c r="A460" s="33">
        <v>313</v>
      </c>
      <c r="B460" s="9" t="s">
        <v>11</v>
      </c>
      <c r="C460" s="1">
        <f t="shared" si="147"/>
        <v>43006861.129999995</v>
      </c>
      <c r="D460" s="1">
        <f>6770400+41859.84-291292</f>
        <v>6520967.8399999999</v>
      </c>
      <c r="E460" s="1">
        <f>6810581-298664+12694.29-200</f>
        <v>6524411.29</v>
      </c>
      <c r="F460" s="1">
        <v>7151111</v>
      </c>
      <c r="G460" s="1">
        <f>7703452-99995</f>
        <v>7603457</v>
      </c>
      <c r="H460" s="1">
        <f>7703452-99995</f>
        <v>7603457</v>
      </c>
      <c r="I460" s="1">
        <f>7703452-99995</f>
        <v>7603457</v>
      </c>
      <c r="J460" s="36"/>
    </row>
  </sheetData>
  <mergeCells count="33">
    <mergeCell ref="A7:A8"/>
    <mergeCell ref="B7:B8"/>
    <mergeCell ref="C7:I7"/>
    <mergeCell ref="J7:J8"/>
    <mergeCell ref="G1:J1"/>
    <mergeCell ref="G2:J2"/>
    <mergeCell ref="G4:J4"/>
    <mergeCell ref="G5:J5"/>
    <mergeCell ref="A6:J6"/>
    <mergeCell ref="B270:J270"/>
    <mergeCell ref="B25:J25"/>
    <mergeCell ref="B26:J26"/>
    <mergeCell ref="B32:J32"/>
    <mergeCell ref="B48:J48"/>
    <mergeCell ref="B180:J180"/>
    <mergeCell ref="B181:J181"/>
    <mergeCell ref="B187:J187"/>
    <mergeCell ref="B193:J193"/>
    <mergeCell ref="B257:J257"/>
    <mergeCell ref="B258:J258"/>
    <mergeCell ref="B264:J264"/>
    <mergeCell ref="B446:J446"/>
    <mergeCell ref="B309:J309"/>
    <mergeCell ref="B310:J310"/>
    <mergeCell ref="B316:J316"/>
    <mergeCell ref="B322:J322"/>
    <mergeCell ref="B359:J359"/>
    <mergeCell ref="B360:J360"/>
    <mergeCell ref="B366:J366"/>
    <mergeCell ref="B372:J372"/>
    <mergeCell ref="B433:J433"/>
    <mergeCell ref="B434:J434"/>
    <mergeCell ref="B440:J4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8"/>
  <sheetViews>
    <sheetView topLeftCell="A4" workbookViewId="0">
      <selection activeCell="T16" sqref="T16"/>
    </sheetView>
  </sheetViews>
  <sheetFormatPr defaultColWidth="9" defaultRowHeight="15.75" x14ac:dyDescent="0.25"/>
  <cols>
    <col min="1" max="1" width="5.375" style="37" customWidth="1"/>
    <col min="2" max="2" width="27" style="37" customWidth="1"/>
    <col min="3" max="3" width="12" style="37" customWidth="1"/>
    <col min="4" max="9" width="11.125" style="37" customWidth="1"/>
    <col min="10" max="10" width="12.625" style="96" customWidth="1"/>
    <col min="11" max="11" width="11.5" style="97" customWidth="1"/>
    <col min="12" max="12" width="13.375" style="37" hidden="1" customWidth="1"/>
    <col min="13" max="18" width="10.875" style="37" hidden="1" customWidth="1"/>
    <col min="19" max="16384" width="9" style="37"/>
  </cols>
  <sheetData>
    <row r="1" spans="1:19" s="45" customFormat="1" ht="15" hidden="1" customHeight="1" x14ac:dyDescent="0.25">
      <c r="G1" s="226" t="s">
        <v>83</v>
      </c>
      <c r="H1" s="226"/>
      <c r="I1" s="226"/>
      <c r="J1" s="226"/>
      <c r="K1" s="226"/>
    </row>
    <row r="2" spans="1:19" s="45" customFormat="1" ht="39.75" hidden="1" customHeight="1" x14ac:dyDescent="0.25">
      <c r="G2" s="226" t="s">
        <v>136</v>
      </c>
      <c r="H2" s="226"/>
      <c r="I2" s="226"/>
      <c r="J2" s="226"/>
      <c r="K2" s="226"/>
    </row>
    <row r="3" spans="1:19" s="45" customFormat="1" hidden="1" x14ac:dyDescent="0.25">
      <c r="G3" s="46"/>
      <c r="H3" s="46"/>
      <c r="I3" s="46"/>
      <c r="J3" s="47"/>
      <c r="K3" s="46"/>
    </row>
    <row r="4" spans="1:19" s="45" customFormat="1" ht="15.75" customHeight="1" x14ac:dyDescent="0.25">
      <c r="A4" s="48"/>
      <c r="B4" s="49"/>
      <c r="C4" s="49"/>
      <c r="D4" s="49"/>
      <c r="E4" s="49"/>
      <c r="F4" s="49"/>
      <c r="G4" s="226" t="s">
        <v>83</v>
      </c>
      <c r="H4" s="226"/>
      <c r="I4" s="226"/>
      <c r="J4" s="226"/>
      <c r="K4" s="226"/>
    </row>
    <row r="5" spans="1:19" s="45" customFormat="1" ht="35.1" customHeight="1" x14ac:dyDescent="0.25">
      <c r="A5" s="48"/>
      <c r="B5" s="49"/>
      <c r="C5" s="50"/>
      <c r="D5" s="50"/>
      <c r="E5" s="49"/>
      <c r="F5" s="49"/>
      <c r="G5" s="226" t="s">
        <v>90</v>
      </c>
      <c r="H5" s="226"/>
      <c r="I5" s="226"/>
      <c r="J5" s="226"/>
      <c r="K5" s="226"/>
    </row>
    <row r="6" spans="1:19" ht="58.5" customHeight="1" x14ac:dyDescent="0.25">
      <c r="A6" s="199" t="s">
        <v>80</v>
      </c>
      <c r="B6" s="199"/>
      <c r="C6" s="199"/>
      <c r="D6" s="199"/>
      <c r="E6" s="199"/>
      <c r="F6" s="199"/>
      <c r="G6" s="199"/>
      <c r="H6" s="199"/>
      <c r="I6" s="199"/>
      <c r="J6" s="199"/>
      <c r="K6" s="199"/>
    </row>
    <row r="7" spans="1:19" s="38" customFormat="1" ht="38.25" customHeight="1" x14ac:dyDescent="0.2">
      <c r="A7" s="200" t="s">
        <v>66</v>
      </c>
      <c r="B7" s="200" t="s">
        <v>81</v>
      </c>
      <c r="C7" s="200" t="s">
        <v>67</v>
      </c>
      <c r="D7" s="200"/>
      <c r="E7" s="200"/>
      <c r="F7" s="200"/>
      <c r="G7" s="200"/>
      <c r="H7" s="200"/>
      <c r="I7" s="200"/>
      <c r="J7" s="227" t="s">
        <v>0</v>
      </c>
      <c r="K7" s="228" t="s">
        <v>137</v>
      </c>
    </row>
    <row r="8" spans="1:19" s="38" customFormat="1" ht="53.25" customHeight="1" x14ac:dyDescent="0.2">
      <c r="A8" s="200"/>
      <c r="B8" s="200"/>
      <c r="C8" s="41" t="s">
        <v>1</v>
      </c>
      <c r="D8" s="41" t="s">
        <v>2</v>
      </c>
      <c r="E8" s="41" t="s">
        <v>3</v>
      </c>
      <c r="F8" s="41" t="s">
        <v>4</v>
      </c>
      <c r="G8" s="41" t="s">
        <v>5</v>
      </c>
      <c r="H8" s="41" t="s">
        <v>6</v>
      </c>
      <c r="I8" s="41" t="s">
        <v>7</v>
      </c>
      <c r="J8" s="227"/>
      <c r="K8" s="229"/>
      <c r="L8" s="51"/>
      <c r="M8" s="52" t="str">
        <f t="shared" ref="M8:R8" si="0">D8</f>
        <v>2015 год</v>
      </c>
      <c r="N8" s="52" t="str">
        <f t="shared" si="0"/>
        <v>2016 год</v>
      </c>
      <c r="O8" s="52" t="str">
        <f t="shared" si="0"/>
        <v>2017 год</v>
      </c>
      <c r="P8" s="52" t="str">
        <f t="shared" si="0"/>
        <v>2018 год</v>
      </c>
      <c r="Q8" s="52" t="str">
        <f t="shared" si="0"/>
        <v>2019 год</v>
      </c>
      <c r="R8" s="52" t="str">
        <f t="shared" si="0"/>
        <v>2020 год</v>
      </c>
      <c r="S8" s="53"/>
    </row>
    <row r="9" spans="1:19" s="38" customFormat="1" ht="12.75" x14ac:dyDescent="0.2">
      <c r="A9" s="41">
        <v>1</v>
      </c>
      <c r="B9" s="41">
        <v>2</v>
      </c>
      <c r="C9" s="41">
        <v>3</v>
      </c>
      <c r="D9" s="41">
        <v>4</v>
      </c>
      <c r="E9" s="41">
        <v>5</v>
      </c>
      <c r="F9" s="41">
        <v>6</v>
      </c>
      <c r="G9" s="41">
        <v>7</v>
      </c>
      <c r="H9" s="41">
        <v>8</v>
      </c>
      <c r="I9" s="41">
        <v>9</v>
      </c>
      <c r="J9" s="54">
        <v>10</v>
      </c>
      <c r="K9" s="55">
        <v>11</v>
      </c>
      <c r="L9" s="51"/>
      <c r="M9" s="56">
        <f>M11/M10*100</f>
        <v>11.384839737074113</v>
      </c>
      <c r="N9" s="56">
        <f t="shared" ref="N9:R9" si="1">N11/N10*100</f>
        <v>11.192373822256396</v>
      </c>
      <c r="O9" s="56">
        <f t="shared" si="1"/>
        <v>15.355663241484669</v>
      </c>
      <c r="P9" s="56">
        <f t="shared" si="1"/>
        <v>13.73711347884675</v>
      </c>
      <c r="Q9" s="56">
        <f t="shared" si="1"/>
        <v>12.165927403035655</v>
      </c>
      <c r="R9" s="56">
        <f t="shared" si="1"/>
        <v>14.398823090847182</v>
      </c>
      <c r="S9" s="53"/>
    </row>
    <row r="10" spans="1:19" s="38" customFormat="1" ht="24" x14ac:dyDescent="0.2">
      <c r="A10" s="41">
        <v>1</v>
      </c>
      <c r="B10" s="57" t="s">
        <v>8</v>
      </c>
      <c r="C10" s="58">
        <f>SUM(D10:I10)</f>
        <v>868226618.6400001</v>
      </c>
      <c r="D10" s="58">
        <f t="shared" ref="D10:I10" si="2">SUM(D11:D14)</f>
        <v>142766687.31</v>
      </c>
      <c r="E10" s="58">
        <f t="shared" si="2"/>
        <v>135979667.22000003</v>
      </c>
      <c r="F10" s="58">
        <f t="shared" si="2"/>
        <v>164916549.38</v>
      </c>
      <c r="G10" s="58">
        <f t="shared" si="2"/>
        <v>145449760.80000001</v>
      </c>
      <c r="H10" s="58">
        <f t="shared" si="2"/>
        <v>127826538.45999999</v>
      </c>
      <c r="I10" s="58">
        <f t="shared" si="2"/>
        <v>151287415.47</v>
      </c>
      <c r="J10" s="54"/>
      <c r="K10" s="59"/>
      <c r="L10" s="51" t="s">
        <v>138</v>
      </c>
      <c r="M10" s="60">
        <v>1254007000.5999999</v>
      </c>
      <c r="N10" s="60">
        <v>1214931429.02</v>
      </c>
      <c r="O10" s="60">
        <v>1073978679.96</v>
      </c>
      <c r="P10" s="60">
        <v>1058808759.38</v>
      </c>
      <c r="Q10" s="60">
        <v>1050692924.8</v>
      </c>
      <c r="R10" s="60">
        <v>1050692924.8</v>
      </c>
      <c r="S10" s="53"/>
    </row>
    <row r="11" spans="1:19" s="38" customFormat="1" ht="17.25" customHeight="1" x14ac:dyDescent="0.2">
      <c r="A11" s="41">
        <v>2</v>
      </c>
      <c r="B11" s="61" t="s">
        <v>59</v>
      </c>
      <c r="C11" s="62">
        <f t="shared" ref="C11:C19" si="3">SUM(D11:I11)</f>
        <v>314600</v>
      </c>
      <c r="D11" s="62">
        <f t="shared" ref="D11:I14" si="4">D16+D21</f>
        <v>64600</v>
      </c>
      <c r="E11" s="62">
        <f t="shared" si="4"/>
        <v>150000</v>
      </c>
      <c r="F11" s="62">
        <f t="shared" si="4"/>
        <v>100000</v>
      </c>
      <c r="G11" s="62">
        <f t="shared" si="4"/>
        <v>0</v>
      </c>
      <c r="H11" s="62">
        <f t="shared" si="4"/>
        <v>0</v>
      </c>
      <c r="I11" s="62">
        <f t="shared" si="4"/>
        <v>0</v>
      </c>
      <c r="J11" s="54"/>
      <c r="K11" s="41"/>
      <c r="L11" s="51" t="s">
        <v>139</v>
      </c>
      <c r="M11" s="60">
        <f t="shared" ref="M11:R11" si="5">D10</f>
        <v>142766687.31</v>
      </c>
      <c r="N11" s="60">
        <f t="shared" si="5"/>
        <v>135979667.22000003</v>
      </c>
      <c r="O11" s="60">
        <f t="shared" si="5"/>
        <v>164916549.38</v>
      </c>
      <c r="P11" s="60">
        <f t="shared" si="5"/>
        <v>145449760.80000001</v>
      </c>
      <c r="Q11" s="60">
        <f t="shared" si="5"/>
        <v>127826538.45999999</v>
      </c>
      <c r="R11" s="60">
        <f t="shared" si="5"/>
        <v>151287415.47</v>
      </c>
      <c r="S11" s="53"/>
    </row>
    <row r="12" spans="1:19" s="38" customFormat="1" ht="12.75" x14ac:dyDescent="0.2">
      <c r="A12" s="41">
        <v>3</v>
      </c>
      <c r="B12" s="61" t="s">
        <v>10</v>
      </c>
      <c r="C12" s="62">
        <f t="shared" si="3"/>
        <v>2049823</v>
      </c>
      <c r="D12" s="62">
        <f t="shared" si="4"/>
        <v>1160100</v>
      </c>
      <c r="E12" s="62">
        <f t="shared" si="4"/>
        <v>84200</v>
      </c>
      <c r="F12" s="62">
        <f t="shared" si="4"/>
        <v>703370</v>
      </c>
      <c r="G12" s="62">
        <f t="shared" si="4"/>
        <v>102153</v>
      </c>
      <c r="H12" s="62">
        <f t="shared" si="4"/>
        <v>0</v>
      </c>
      <c r="I12" s="62">
        <f t="shared" si="4"/>
        <v>0</v>
      </c>
      <c r="J12" s="54"/>
      <c r="K12" s="41"/>
      <c r="L12" s="51" t="s">
        <v>140</v>
      </c>
      <c r="M12" s="63"/>
      <c r="N12" s="63">
        <v>74193026.260000005</v>
      </c>
      <c r="O12" s="63">
        <v>83398529.469999999</v>
      </c>
      <c r="P12" s="63">
        <v>73765762.469999999</v>
      </c>
      <c r="Q12" s="63">
        <v>73805761.469999999</v>
      </c>
      <c r="R12" s="63">
        <f>Q12</f>
        <v>73805761.469999999</v>
      </c>
      <c r="S12" s="53"/>
    </row>
    <row r="13" spans="1:19" s="38" customFormat="1" ht="12.75" x14ac:dyDescent="0.2">
      <c r="A13" s="41">
        <v>4</v>
      </c>
      <c r="B13" s="61" t="s">
        <v>11</v>
      </c>
      <c r="C13" s="62">
        <f t="shared" si="3"/>
        <v>774032297.6400001</v>
      </c>
      <c r="D13" s="62">
        <f>D18+D23</f>
        <v>127702587.31</v>
      </c>
      <c r="E13" s="62">
        <f t="shared" si="4"/>
        <v>121163388.22000001</v>
      </c>
      <c r="F13" s="62">
        <f t="shared" si="4"/>
        <v>148095690.38</v>
      </c>
      <c r="G13" s="62">
        <f t="shared" si="4"/>
        <v>129536497.80000001</v>
      </c>
      <c r="H13" s="64">
        <f t="shared" si="4"/>
        <v>112036628.45999999</v>
      </c>
      <c r="I13" s="62">
        <f t="shared" si="4"/>
        <v>135497505.47</v>
      </c>
      <c r="J13" s="54"/>
      <c r="K13" s="59"/>
      <c r="L13" s="51" t="s">
        <v>141</v>
      </c>
      <c r="M13" s="63"/>
      <c r="N13" s="63">
        <v>47126601.719999999</v>
      </c>
      <c r="O13" s="63">
        <v>49496524</v>
      </c>
      <c r="P13" s="63">
        <v>47456057</v>
      </c>
      <c r="Q13" s="63">
        <v>47416058</v>
      </c>
      <c r="R13" s="63">
        <f>Q13</f>
        <v>47416058</v>
      </c>
      <c r="S13" s="53"/>
    </row>
    <row r="14" spans="1:19" s="38" customFormat="1" ht="12.75" x14ac:dyDescent="0.2">
      <c r="A14" s="41">
        <v>5</v>
      </c>
      <c r="B14" s="61" t="s">
        <v>12</v>
      </c>
      <c r="C14" s="62">
        <f t="shared" si="3"/>
        <v>91829898</v>
      </c>
      <c r="D14" s="62">
        <f t="shared" ref="D14" si="6">D19+D24</f>
        <v>13839400</v>
      </c>
      <c r="E14" s="62">
        <f t="shared" si="4"/>
        <v>14582079</v>
      </c>
      <c r="F14" s="62">
        <f t="shared" si="4"/>
        <v>16017489</v>
      </c>
      <c r="G14" s="64">
        <f t="shared" si="4"/>
        <v>15811110</v>
      </c>
      <c r="H14" s="62">
        <f t="shared" si="4"/>
        <v>15789910</v>
      </c>
      <c r="I14" s="62">
        <f t="shared" si="4"/>
        <v>15789910</v>
      </c>
      <c r="J14" s="54"/>
      <c r="K14" s="41"/>
      <c r="L14" s="51" t="s">
        <v>142</v>
      </c>
      <c r="M14" s="60">
        <f>M11</f>
        <v>142766687.31</v>
      </c>
      <c r="N14" s="63">
        <f>SUM(N12:N13)</f>
        <v>121319627.98</v>
      </c>
      <c r="O14" s="63">
        <f>SUM(O12:O13)</f>
        <v>132895053.47</v>
      </c>
      <c r="P14" s="63">
        <f t="shared" ref="P14:R14" si="7">SUM(P12:P13)</f>
        <v>121221819.47</v>
      </c>
      <c r="Q14" s="63">
        <f t="shared" si="7"/>
        <v>121221819.47</v>
      </c>
      <c r="R14" s="63">
        <f t="shared" si="7"/>
        <v>121221819.47</v>
      </c>
      <c r="S14" s="53"/>
    </row>
    <row r="15" spans="1:19" s="38" customFormat="1" ht="12.75" x14ac:dyDescent="0.2">
      <c r="A15" s="41">
        <v>6</v>
      </c>
      <c r="B15" s="65" t="s">
        <v>63</v>
      </c>
      <c r="C15" s="66">
        <f t="shared" si="3"/>
        <v>12865557</v>
      </c>
      <c r="D15" s="66">
        <f>SUM(D16:D19)</f>
        <v>0</v>
      </c>
      <c r="E15" s="66">
        <f t="shared" ref="E15:I15" si="8">SUM(E16:E19)</f>
        <v>0</v>
      </c>
      <c r="F15" s="66">
        <f t="shared" si="8"/>
        <v>668332</v>
      </c>
      <c r="G15" s="66">
        <f t="shared" si="8"/>
        <v>0</v>
      </c>
      <c r="H15" s="66">
        <f t="shared" si="8"/>
        <v>0</v>
      </c>
      <c r="I15" s="66">
        <f t="shared" si="8"/>
        <v>12197225</v>
      </c>
      <c r="J15" s="54"/>
      <c r="K15" s="41"/>
      <c r="L15" s="51"/>
      <c r="M15" s="67">
        <f>M14/M10*100</f>
        <v>11.384839737074113</v>
      </c>
      <c r="N15" s="67">
        <f>N14/N10*100</f>
        <v>9.9857181304347407</v>
      </c>
      <c r="O15" s="67">
        <f t="shared" ref="O15:R15" si="9">O14/O10*100</f>
        <v>12.374086743970524</v>
      </c>
      <c r="P15" s="67">
        <f t="shared" si="9"/>
        <v>11.448887100346912</v>
      </c>
      <c r="Q15" s="67">
        <f t="shared" si="9"/>
        <v>11.53732138179903</v>
      </c>
      <c r="R15" s="67">
        <f t="shared" si="9"/>
        <v>11.53732138179903</v>
      </c>
      <c r="S15" s="53"/>
    </row>
    <row r="16" spans="1:19" s="38" customFormat="1" ht="12.75" x14ac:dyDescent="0.2">
      <c r="A16" s="41">
        <v>7</v>
      </c>
      <c r="B16" s="61" t="s">
        <v>59</v>
      </c>
      <c r="C16" s="62">
        <f t="shared" si="3"/>
        <v>0</v>
      </c>
      <c r="D16" s="62">
        <f t="shared" ref="D16:I19" si="10">D33+D214+D307+D370+D436+D526</f>
        <v>0</v>
      </c>
      <c r="E16" s="62">
        <f t="shared" si="10"/>
        <v>0</v>
      </c>
      <c r="F16" s="62">
        <f t="shared" si="10"/>
        <v>0</v>
      </c>
      <c r="G16" s="62">
        <f t="shared" si="10"/>
        <v>0</v>
      </c>
      <c r="H16" s="62">
        <f t="shared" si="10"/>
        <v>0</v>
      </c>
      <c r="I16" s="62">
        <f t="shared" si="10"/>
        <v>0</v>
      </c>
      <c r="J16" s="54"/>
      <c r="K16" s="41"/>
      <c r="M16" s="53"/>
      <c r="N16" s="53"/>
      <c r="O16" s="53"/>
      <c r="P16" s="53"/>
      <c r="Q16" s="53"/>
      <c r="R16" s="53"/>
      <c r="S16" s="53"/>
    </row>
    <row r="17" spans="1:19" s="38" customFormat="1" ht="12.75" x14ac:dyDescent="0.2">
      <c r="A17" s="41">
        <v>8</v>
      </c>
      <c r="B17" s="61" t="s">
        <v>10</v>
      </c>
      <c r="C17" s="62">
        <f t="shared" si="3"/>
        <v>0</v>
      </c>
      <c r="D17" s="62">
        <f t="shared" si="10"/>
        <v>0</v>
      </c>
      <c r="E17" s="62">
        <f t="shared" si="10"/>
        <v>0</v>
      </c>
      <c r="F17" s="62">
        <f t="shared" si="10"/>
        <v>0</v>
      </c>
      <c r="G17" s="62">
        <f t="shared" si="10"/>
        <v>0</v>
      </c>
      <c r="H17" s="62">
        <f t="shared" si="10"/>
        <v>0</v>
      </c>
      <c r="I17" s="62">
        <f t="shared" si="10"/>
        <v>0</v>
      </c>
      <c r="J17" s="54"/>
      <c r="K17" s="41"/>
      <c r="M17" s="53"/>
      <c r="N17" s="53"/>
      <c r="O17" s="53"/>
      <c r="P17" s="53"/>
      <c r="Q17" s="53"/>
      <c r="R17" s="53"/>
      <c r="S17" s="53"/>
    </row>
    <row r="18" spans="1:19" s="38" customFormat="1" ht="12.75" x14ac:dyDescent="0.2">
      <c r="A18" s="41">
        <v>9</v>
      </c>
      <c r="B18" s="61" t="s">
        <v>11</v>
      </c>
      <c r="C18" s="62">
        <f t="shared" si="3"/>
        <v>12865557</v>
      </c>
      <c r="D18" s="62">
        <f t="shared" si="10"/>
        <v>0</v>
      </c>
      <c r="E18" s="62">
        <f t="shared" si="10"/>
        <v>0</v>
      </c>
      <c r="F18" s="62">
        <f t="shared" si="10"/>
        <v>668332</v>
      </c>
      <c r="G18" s="62">
        <f t="shared" si="10"/>
        <v>0</v>
      </c>
      <c r="H18" s="62">
        <f t="shared" si="10"/>
        <v>0</v>
      </c>
      <c r="I18" s="62">
        <f t="shared" si="10"/>
        <v>12197225</v>
      </c>
      <c r="J18" s="54"/>
      <c r="K18" s="41"/>
      <c r="M18" s="53"/>
      <c r="N18" s="53"/>
      <c r="O18" s="53"/>
      <c r="P18" s="53"/>
      <c r="Q18" s="53"/>
      <c r="R18" s="53"/>
      <c r="S18" s="53"/>
    </row>
    <row r="19" spans="1:19" s="38" customFormat="1" ht="12.75" x14ac:dyDescent="0.2">
      <c r="A19" s="41">
        <v>10</v>
      </c>
      <c r="B19" s="61" t="s">
        <v>12</v>
      </c>
      <c r="C19" s="62">
        <f t="shared" si="3"/>
        <v>0</v>
      </c>
      <c r="D19" s="62">
        <f t="shared" si="10"/>
        <v>0</v>
      </c>
      <c r="E19" s="62">
        <f t="shared" si="10"/>
        <v>0</v>
      </c>
      <c r="F19" s="62">
        <f t="shared" si="10"/>
        <v>0</v>
      </c>
      <c r="G19" s="62">
        <f t="shared" si="10"/>
        <v>0</v>
      </c>
      <c r="H19" s="62">
        <f t="shared" si="10"/>
        <v>0</v>
      </c>
      <c r="I19" s="62">
        <f t="shared" si="10"/>
        <v>0</v>
      </c>
      <c r="J19" s="54"/>
      <c r="K19" s="41"/>
      <c r="M19" s="53"/>
      <c r="N19" s="53"/>
      <c r="O19" s="53"/>
      <c r="P19" s="53"/>
      <c r="Q19" s="53"/>
      <c r="R19" s="53"/>
      <c r="S19" s="53"/>
    </row>
    <row r="20" spans="1:19" s="38" customFormat="1" ht="12.75" x14ac:dyDescent="0.2">
      <c r="A20" s="41">
        <v>11</v>
      </c>
      <c r="B20" s="65" t="s">
        <v>64</v>
      </c>
      <c r="C20" s="66">
        <f>SUM(D20:I20)</f>
        <v>855361061.6400001</v>
      </c>
      <c r="D20" s="66">
        <f>SUM(D21:D24)</f>
        <v>142766687.31</v>
      </c>
      <c r="E20" s="66">
        <f t="shared" ref="E20:I20" si="11">SUM(E21:E24)</f>
        <v>135979667.22000003</v>
      </c>
      <c r="F20" s="66">
        <f t="shared" si="11"/>
        <v>164248217.38</v>
      </c>
      <c r="G20" s="66">
        <f t="shared" si="11"/>
        <v>145449760.80000001</v>
      </c>
      <c r="H20" s="66">
        <f t="shared" si="11"/>
        <v>127826538.45999999</v>
      </c>
      <c r="I20" s="66">
        <f t="shared" si="11"/>
        <v>139090190.47</v>
      </c>
      <c r="J20" s="54"/>
      <c r="K20" s="59"/>
      <c r="M20" s="53"/>
      <c r="N20" s="53"/>
      <c r="O20" s="53"/>
      <c r="P20" s="53"/>
      <c r="Q20" s="53"/>
      <c r="R20" s="53"/>
    </row>
    <row r="21" spans="1:19" s="38" customFormat="1" ht="12.75" x14ac:dyDescent="0.2">
      <c r="A21" s="41">
        <v>12</v>
      </c>
      <c r="B21" s="61" t="s">
        <v>59</v>
      </c>
      <c r="C21" s="62">
        <f>SUM(D21:I21)</f>
        <v>314600</v>
      </c>
      <c r="D21" s="62">
        <f t="shared" ref="D21:I24" si="12">D61+D232+D325+D388+D454+D544</f>
        <v>64600</v>
      </c>
      <c r="E21" s="62">
        <f t="shared" si="12"/>
        <v>150000</v>
      </c>
      <c r="F21" s="62">
        <f t="shared" si="12"/>
        <v>100000</v>
      </c>
      <c r="G21" s="62">
        <f t="shared" si="12"/>
        <v>0</v>
      </c>
      <c r="H21" s="62">
        <f t="shared" si="12"/>
        <v>0</v>
      </c>
      <c r="I21" s="62">
        <f t="shared" si="12"/>
        <v>0</v>
      </c>
      <c r="J21" s="54"/>
      <c r="K21" s="41"/>
      <c r="M21" s="53"/>
      <c r="N21" s="53"/>
      <c r="O21" s="53"/>
      <c r="P21" s="53"/>
      <c r="Q21" s="53"/>
      <c r="R21" s="53"/>
    </row>
    <row r="22" spans="1:19" s="38" customFormat="1" ht="12" x14ac:dyDescent="0.2">
      <c r="A22" s="41">
        <v>13</v>
      </c>
      <c r="B22" s="61" t="s">
        <v>10</v>
      </c>
      <c r="C22" s="62">
        <f>SUM(D22:I22)</f>
        <v>2049823</v>
      </c>
      <c r="D22" s="62">
        <f t="shared" si="12"/>
        <v>1160100</v>
      </c>
      <c r="E22" s="62">
        <f t="shared" si="12"/>
        <v>84200</v>
      </c>
      <c r="F22" s="62">
        <f t="shared" si="12"/>
        <v>703370</v>
      </c>
      <c r="G22" s="62">
        <f t="shared" si="12"/>
        <v>102153</v>
      </c>
      <c r="H22" s="62">
        <f t="shared" si="12"/>
        <v>0</v>
      </c>
      <c r="I22" s="62">
        <f t="shared" si="12"/>
        <v>0</v>
      </c>
      <c r="J22" s="54"/>
      <c r="K22" s="41"/>
    </row>
    <row r="23" spans="1:19" s="38" customFormat="1" ht="12" x14ac:dyDescent="0.2">
      <c r="A23" s="41">
        <v>14</v>
      </c>
      <c r="B23" s="61" t="s">
        <v>11</v>
      </c>
      <c r="C23" s="62">
        <f>SUM(D23:I23)</f>
        <v>761166740.6400001</v>
      </c>
      <c r="D23" s="62">
        <f t="shared" si="12"/>
        <v>127702587.31</v>
      </c>
      <c r="E23" s="62">
        <f t="shared" si="12"/>
        <v>121163388.22000001</v>
      </c>
      <c r="F23" s="62">
        <f t="shared" si="12"/>
        <v>147427358.38</v>
      </c>
      <c r="G23" s="62">
        <f t="shared" si="12"/>
        <v>129536497.80000001</v>
      </c>
      <c r="H23" s="62">
        <f t="shared" si="12"/>
        <v>112036628.45999999</v>
      </c>
      <c r="I23" s="62">
        <f t="shared" si="12"/>
        <v>123300280.47</v>
      </c>
      <c r="J23" s="54"/>
      <c r="K23" s="41"/>
    </row>
    <row r="24" spans="1:19" s="38" customFormat="1" ht="12" x14ac:dyDescent="0.2">
      <c r="A24" s="41">
        <v>15</v>
      </c>
      <c r="B24" s="61" t="s">
        <v>12</v>
      </c>
      <c r="C24" s="62">
        <f>SUM(D24:I24)</f>
        <v>91829898</v>
      </c>
      <c r="D24" s="62">
        <f t="shared" si="12"/>
        <v>13839400</v>
      </c>
      <c r="E24" s="62">
        <f t="shared" si="12"/>
        <v>14582079</v>
      </c>
      <c r="F24" s="62">
        <f t="shared" si="12"/>
        <v>16017489</v>
      </c>
      <c r="G24" s="62">
        <f t="shared" si="12"/>
        <v>15811110</v>
      </c>
      <c r="H24" s="62">
        <f t="shared" si="12"/>
        <v>15789910</v>
      </c>
      <c r="I24" s="62">
        <f t="shared" si="12"/>
        <v>15789910</v>
      </c>
      <c r="J24" s="54"/>
      <c r="K24" s="41"/>
    </row>
    <row r="25" spans="1:19" s="38" customFormat="1" ht="12" x14ac:dyDescent="0.2">
      <c r="A25" s="41">
        <v>16</v>
      </c>
      <c r="B25" s="215" t="s">
        <v>13</v>
      </c>
      <c r="C25" s="216"/>
      <c r="D25" s="216"/>
      <c r="E25" s="216"/>
      <c r="F25" s="216"/>
      <c r="G25" s="216"/>
      <c r="H25" s="216"/>
      <c r="I25" s="216"/>
      <c r="J25" s="217"/>
      <c r="K25" s="41"/>
    </row>
    <row r="26" spans="1:19" s="38" customFormat="1" ht="24" x14ac:dyDescent="0.2">
      <c r="A26" s="41">
        <v>17</v>
      </c>
      <c r="B26" s="57" t="s">
        <v>143</v>
      </c>
      <c r="C26" s="68">
        <f>SUM(D26:I26)</f>
        <v>504002716.19</v>
      </c>
      <c r="D26" s="68">
        <f>SUM(D27:D30)</f>
        <v>84813030.400000006</v>
      </c>
      <c r="E26" s="68">
        <f t="shared" ref="E26:I26" si="13">SUM(E27:E30)</f>
        <v>73908930.060000002</v>
      </c>
      <c r="F26" s="68">
        <f t="shared" si="13"/>
        <v>95496556.520000011</v>
      </c>
      <c r="G26" s="68">
        <f t="shared" si="13"/>
        <v>83714271.280000001</v>
      </c>
      <c r="H26" s="68">
        <f t="shared" si="13"/>
        <v>74789701.929999992</v>
      </c>
      <c r="I26" s="68">
        <f t="shared" si="13"/>
        <v>91280226</v>
      </c>
      <c r="J26" s="54"/>
      <c r="K26" s="59"/>
    </row>
    <row r="27" spans="1:19" s="38" customFormat="1" ht="12" x14ac:dyDescent="0.2">
      <c r="A27" s="41">
        <v>18</v>
      </c>
      <c r="B27" s="61" t="s">
        <v>59</v>
      </c>
      <c r="C27" s="69">
        <f>SUM(D27:I27)</f>
        <v>314600</v>
      </c>
      <c r="D27" s="70">
        <f t="shared" ref="D27:I30" si="14">D33+D61</f>
        <v>64600</v>
      </c>
      <c r="E27" s="70">
        <f t="shared" si="14"/>
        <v>150000</v>
      </c>
      <c r="F27" s="70">
        <f t="shared" si="14"/>
        <v>100000</v>
      </c>
      <c r="G27" s="70">
        <f t="shared" si="14"/>
        <v>0</v>
      </c>
      <c r="H27" s="70">
        <f t="shared" si="14"/>
        <v>0</v>
      </c>
      <c r="I27" s="70">
        <f t="shared" si="14"/>
        <v>0</v>
      </c>
      <c r="J27" s="54"/>
      <c r="K27" s="41"/>
    </row>
    <row r="28" spans="1:19" s="38" customFormat="1" ht="12" x14ac:dyDescent="0.2">
      <c r="A28" s="41">
        <v>19</v>
      </c>
      <c r="B28" s="61" t="s">
        <v>10</v>
      </c>
      <c r="C28" s="69">
        <f>SUM(D28:I28)</f>
        <v>1283463</v>
      </c>
      <c r="D28" s="69">
        <f t="shared" si="14"/>
        <v>960100</v>
      </c>
      <c r="E28" s="69">
        <f t="shared" si="14"/>
        <v>0</v>
      </c>
      <c r="F28" s="69">
        <f t="shared" si="14"/>
        <v>275214</v>
      </c>
      <c r="G28" s="69">
        <f t="shared" si="14"/>
        <v>48149</v>
      </c>
      <c r="H28" s="69">
        <f t="shared" si="14"/>
        <v>0</v>
      </c>
      <c r="I28" s="69">
        <f t="shared" si="14"/>
        <v>0</v>
      </c>
      <c r="J28" s="54"/>
      <c r="K28" s="41"/>
    </row>
    <row r="29" spans="1:19" s="38" customFormat="1" ht="12" x14ac:dyDescent="0.2">
      <c r="A29" s="41">
        <v>20</v>
      </c>
      <c r="B29" s="61" t="s">
        <v>11</v>
      </c>
      <c r="C29" s="69">
        <f>SUM(D29:I29)</f>
        <v>449996862.19</v>
      </c>
      <c r="D29" s="69">
        <f t="shared" si="14"/>
        <v>75140930.400000006</v>
      </c>
      <c r="E29" s="69">
        <f t="shared" si="14"/>
        <v>66010001.060000002</v>
      </c>
      <c r="F29" s="69">
        <f t="shared" si="14"/>
        <v>85852476.520000011</v>
      </c>
      <c r="G29" s="69">
        <f t="shared" si="14"/>
        <v>74737790.280000001</v>
      </c>
      <c r="H29" s="69">
        <f t="shared" si="14"/>
        <v>65882569.929999992</v>
      </c>
      <c r="I29" s="69">
        <f t="shared" si="14"/>
        <v>82373094</v>
      </c>
      <c r="J29" s="54"/>
      <c r="K29" s="41"/>
    </row>
    <row r="30" spans="1:19" s="38" customFormat="1" ht="12" x14ac:dyDescent="0.2">
      <c r="A30" s="41">
        <v>21</v>
      </c>
      <c r="B30" s="61" t="s">
        <v>12</v>
      </c>
      <c r="C30" s="69">
        <f>SUM(D30:I30)</f>
        <v>52407791</v>
      </c>
      <c r="D30" s="69">
        <f t="shared" si="14"/>
        <v>8647400</v>
      </c>
      <c r="E30" s="69">
        <f t="shared" si="14"/>
        <v>7748929</v>
      </c>
      <c r="F30" s="69">
        <f t="shared" si="14"/>
        <v>9268866</v>
      </c>
      <c r="G30" s="69">
        <f t="shared" si="14"/>
        <v>8928332</v>
      </c>
      <c r="H30" s="69">
        <f t="shared" si="14"/>
        <v>8907132</v>
      </c>
      <c r="I30" s="69">
        <f t="shared" si="14"/>
        <v>8907132</v>
      </c>
      <c r="J30" s="54"/>
      <c r="K30" s="41"/>
    </row>
    <row r="31" spans="1:19" s="38" customFormat="1" ht="12" x14ac:dyDescent="0.2">
      <c r="A31" s="41">
        <v>22</v>
      </c>
      <c r="B31" s="215" t="s">
        <v>20</v>
      </c>
      <c r="C31" s="216"/>
      <c r="D31" s="216"/>
      <c r="E31" s="216"/>
      <c r="F31" s="216"/>
      <c r="G31" s="216"/>
      <c r="H31" s="216"/>
      <c r="I31" s="216"/>
      <c r="J31" s="217"/>
      <c r="K31" s="41"/>
    </row>
    <row r="32" spans="1:19" s="38" customFormat="1" ht="36" x14ac:dyDescent="0.2">
      <c r="A32" s="41">
        <v>23</v>
      </c>
      <c r="B32" s="57" t="s">
        <v>144</v>
      </c>
      <c r="C32" s="68">
        <f>SUM(D32:I32)</f>
        <v>12865557</v>
      </c>
      <c r="D32" s="68">
        <f>SUM(D33:D36)</f>
        <v>0</v>
      </c>
      <c r="E32" s="68">
        <f t="shared" ref="E32:I32" si="15">SUM(E33:E36)</f>
        <v>0</v>
      </c>
      <c r="F32" s="68">
        <f t="shared" si="15"/>
        <v>668332</v>
      </c>
      <c r="G32" s="68">
        <f t="shared" si="15"/>
        <v>0</v>
      </c>
      <c r="H32" s="68">
        <f t="shared" si="15"/>
        <v>0</v>
      </c>
      <c r="I32" s="68">
        <f t="shared" si="15"/>
        <v>12197225</v>
      </c>
      <c r="J32" s="54"/>
      <c r="K32" s="41"/>
    </row>
    <row r="33" spans="1:11" s="38" customFormat="1" ht="12" x14ac:dyDescent="0.2">
      <c r="A33" s="41">
        <v>24</v>
      </c>
      <c r="B33" s="61" t="s">
        <v>59</v>
      </c>
      <c r="C33" s="69">
        <f t="shared" ref="C33:C52" si="16">SUM(D33:I33)</f>
        <v>0</v>
      </c>
      <c r="D33" s="69">
        <f>D39+D55</f>
        <v>0</v>
      </c>
      <c r="E33" s="69">
        <f t="shared" ref="E33:I33" si="17">E39+E55</f>
        <v>0</v>
      </c>
      <c r="F33" s="69">
        <f t="shared" si="17"/>
        <v>0</v>
      </c>
      <c r="G33" s="69">
        <f t="shared" si="17"/>
        <v>0</v>
      </c>
      <c r="H33" s="69">
        <f t="shared" si="17"/>
        <v>0</v>
      </c>
      <c r="I33" s="69">
        <f t="shared" si="17"/>
        <v>0</v>
      </c>
      <c r="J33" s="54"/>
      <c r="K33" s="41"/>
    </row>
    <row r="34" spans="1:11" s="38" customFormat="1" ht="12" x14ac:dyDescent="0.2">
      <c r="A34" s="41">
        <v>25</v>
      </c>
      <c r="B34" s="61" t="s">
        <v>10</v>
      </c>
      <c r="C34" s="69">
        <f t="shared" si="16"/>
        <v>0</v>
      </c>
      <c r="D34" s="69">
        <f t="shared" ref="D34:I36" si="18">D40+D56</f>
        <v>0</v>
      </c>
      <c r="E34" s="69">
        <f t="shared" si="18"/>
        <v>0</v>
      </c>
      <c r="F34" s="69">
        <f t="shared" si="18"/>
        <v>0</v>
      </c>
      <c r="G34" s="69">
        <f t="shared" si="18"/>
        <v>0</v>
      </c>
      <c r="H34" s="69">
        <f t="shared" si="18"/>
        <v>0</v>
      </c>
      <c r="I34" s="69">
        <f t="shared" si="18"/>
        <v>0</v>
      </c>
      <c r="J34" s="54"/>
      <c r="K34" s="41"/>
    </row>
    <row r="35" spans="1:11" s="38" customFormat="1" ht="12" x14ac:dyDescent="0.2">
      <c r="A35" s="41">
        <v>26</v>
      </c>
      <c r="B35" s="61" t="s">
        <v>11</v>
      </c>
      <c r="C35" s="69">
        <f t="shared" si="16"/>
        <v>12865557</v>
      </c>
      <c r="D35" s="69">
        <f t="shared" si="18"/>
        <v>0</v>
      </c>
      <c r="E35" s="69">
        <f t="shared" si="18"/>
        <v>0</v>
      </c>
      <c r="F35" s="69">
        <f t="shared" si="18"/>
        <v>668332</v>
      </c>
      <c r="G35" s="69">
        <f t="shared" si="18"/>
        <v>0</v>
      </c>
      <c r="H35" s="69">
        <f t="shared" si="18"/>
        <v>0</v>
      </c>
      <c r="I35" s="69">
        <f t="shared" si="18"/>
        <v>12197225</v>
      </c>
      <c r="J35" s="54"/>
      <c r="K35" s="41"/>
    </row>
    <row r="36" spans="1:11" s="38" customFormat="1" ht="12" x14ac:dyDescent="0.2">
      <c r="A36" s="41">
        <v>27</v>
      </c>
      <c r="B36" s="61" t="s">
        <v>12</v>
      </c>
      <c r="C36" s="69">
        <f t="shared" si="16"/>
        <v>0</v>
      </c>
      <c r="D36" s="69">
        <f t="shared" si="18"/>
        <v>0</v>
      </c>
      <c r="E36" s="69">
        <f t="shared" si="18"/>
        <v>0</v>
      </c>
      <c r="F36" s="69">
        <f t="shared" si="18"/>
        <v>0</v>
      </c>
      <c r="G36" s="69">
        <f t="shared" si="18"/>
        <v>0</v>
      </c>
      <c r="H36" s="69">
        <f t="shared" si="18"/>
        <v>0</v>
      </c>
      <c r="I36" s="69">
        <f t="shared" si="18"/>
        <v>0</v>
      </c>
      <c r="J36" s="54"/>
      <c r="K36" s="41"/>
    </row>
    <row r="37" spans="1:11" s="38" customFormat="1" ht="12" x14ac:dyDescent="0.2">
      <c r="A37" s="41">
        <v>28</v>
      </c>
      <c r="B37" s="230" t="s">
        <v>145</v>
      </c>
      <c r="C37" s="222"/>
      <c r="D37" s="222"/>
      <c r="E37" s="222"/>
      <c r="F37" s="222"/>
      <c r="G37" s="222"/>
      <c r="H37" s="222"/>
      <c r="I37" s="222"/>
      <c r="J37" s="223"/>
      <c r="K37" s="41"/>
    </row>
    <row r="38" spans="1:11" s="38" customFormat="1" ht="36" x14ac:dyDescent="0.2">
      <c r="A38" s="41">
        <v>29</v>
      </c>
      <c r="B38" s="71" t="s">
        <v>146</v>
      </c>
      <c r="C38" s="68">
        <f>SUM(D38:I38)</f>
        <v>12865557</v>
      </c>
      <c r="D38" s="68">
        <f>SUM(D39:D42)</f>
        <v>0</v>
      </c>
      <c r="E38" s="68">
        <f t="shared" ref="E38:I38" si="19">SUM(E39:E42)</f>
        <v>0</v>
      </c>
      <c r="F38" s="68">
        <f t="shared" si="19"/>
        <v>668332</v>
      </c>
      <c r="G38" s="68">
        <f t="shared" si="19"/>
        <v>0</v>
      </c>
      <c r="H38" s="68">
        <f t="shared" si="19"/>
        <v>0</v>
      </c>
      <c r="I38" s="68">
        <f t="shared" si="19"/>
        <v>12197225</v>
      </c>
      <c r="J38" s="54"/>
      <c r="K38" s="41"/>
    </row>
    <row r="39" spans="1:11" s="38" customFormat="1" ht="12" x14ac:dyDescent="0.2">
      <c r="A39" s="41">
        <v>30</v>
      </c>
      <c r="B39" s="71" t="s">
        <v>59</v>
      </c>
      <c r="C39" s="69">
        <f t="shared" si="16"/>
        <v>0</v>
      </c>
      <c r="D39" s="69">
        <f>D44+D49</f>
        <v>0</v>
      </c>
      <c r="E39" s="69">
        <f t="shared" ref="E39:I39" si="20">E44+E49</f>
        <v>0</v>
      </c>
      <c r="F39" s="69">
        <f t="shared" si="20"/>
        <v>0</v>
      </c>
      <c r="G39" s="69">
        <f t="shared" si="20"/>
        <v>0</v>
      </c>
      <c r="H39" s="69">
        <f t="shared" si="20"/>
        <v>0</v>
      </c>
      <c r="I39" s="69">
        <f t="shared" si="20"/>
        <v>0</v>
      </c>
      <c r="J39" s="54"/>
      <c r="K39" s="41"/>
    </row>
    <row r="40" spans="1:11" s="38" customFormat="1" ht="12" x14ac:dyDescent="0.2">
      <c r="A40" s="41">
        <v>31</v>
      </c>
      <c r="B40" s="71" t="s">
        <v>10</v>
      </c>
      <c r="C40" s="69">
        <f t="shared" si="16"/>
        <v>0</v>
      </c>
      <c r="D40" s="69">
        <f t="shared" ref="D40:I42" si="21">D45+D50</f>
        <v>0</v>
      </c>
      <c r="E40" s="69">
        <f t="shared" si="21"/>
        <v>0</v>
      </c>
      <c r="F40" s="69">
        <f t="shared" si="21"/>
        <v>0</v>
      </c>
      <c r="G40" s="69">
        <f t="shared" si="21"/>
        <v>0</v>
      </c>
      <c r="H40" s="69">
        <f t="shared" si="21"/>
        <v>0</v>
      </c>
      <c r="I40" s="69">
        <f t="shared" si="21"/>
        <v>0</v>
      </c>
      <c r="J40" s="54"/>
      <c r="K40" s="41"/>
    </row>
    <row r="41" spans="1:11" s="38" customFormat="1" ht="12" x14ac:dyDescent="0.2">
      <c r="A41" s="41">
        <v>32</v>
      </c>
      <c r="B41" s="71" t="s">
        <v>11</v>
      </c>
      <c r="C41" s="69">
        <f t="shared" si="16"/>
        <v>12865557</v>
      </c>
      <c r="D41" s="69">
        <f t="shared" si="21"/>
        <v>0</v>
      </c>
      <c r="E41" s="69">
        <f t="shared" si="21"/>
        <v>0</v>
      </c>
      <c r="F41" s="69">
        <f t="shared" si="21"/>
        <v>668332</v>
      </c>
      <c r="G41" s="69">
        <f t="shared" si="21"/>
        <v>0</v>
      </c>
      <c r="H41" s="69">
        <f t="shared" si="21"/>
        <v>0</v>
      </c>
      <c r="I41" s="69">
        <f t="shared" si="21"/>
        <v>12197225</v>
      </c>
      <c r="J41" s="54"/>
      <c r="K41" s="41"/>
    </row>
    <row r="42" spans="1:11" s="38" customFormat="1" ht="12" x14ac:dyDescent="0.2">
      <c r="A42" s="41">
        <v>33</v>
      </c>
      <c r="B42" s="71" t="s">
        <v>12</v>
      </c>
      <c r="C42" s="69">
        <f t="shared" si="16"/>
        <v>0</v>
      </c>
      <c r="D42" s="69">
        <f t="shared" si="21"/>
        <v>0</v>
      </c>
      <c r="E42" s="69">
        <f t="shared" si="21"/>
        <v>0</v>
      </c>
      <c r="F42" s="69">
        <f t="shared" si="21"/>
        <v>0</v>
      </c>
      <c r="G42" s="69">
        <f t="shared" si="21"/>
        <v>0</v>
      </c>
      <c r="H42" s="69">
        <f t="shared" si="21"/>
        <v>0</v>
      </c>
      <c r="I42" s="69">
        <f t="shared" si="21"/>
        <v>0</v>
      </c>
      <c r="J42" s="54"/>
      <c r="K42" s="41"/>
    </row>
    <row r="43" spans="1:11" s="38" customFormat="1" ht="60" x14ac:dyDescent="0.2">
      <c r="A43" s="41">
        <v>34</v>
      </c>
      <c r="B43" s="65" t="s">
        <v>147</v>
      </c>
      <c r="C43" s="68">
        <f t="shared" si="16"/>
        <v>12197225</v>
      </c>
      <c r="D43" s="68">
        <f t="shared" ref="D43:I43" si="22">SUM(D44:D47)</f>
        <v>0</v>
      </c>
      <c r="E43" s="68">
        <f t="shared" si="22"/>
        <v>0</v>
      </c>
      <c r="F43" s="68">
        <f t="shared" si="22"/>
        <v>0</v>
      </c>
      <c r="G43" s="68">
        <f t="shared" si="22"/>
        <v>0</v>
      </c>
      <c r="H43" s="68">
        <f t="shared" si="22"/>
        <v>0</v>
      </c>
      <c r="I43" s="68">
        <f t="shared" si="22"/>
        <v>12197225</v>
      </c>
      <c r="J43" s="54" t="s">
        <v>148</v>
      </c>
      <c r="K43" s="41" t="s">
        <v>149</v>
      </c>
    </row>
    <row r="44" spans="1:11" s="38" customFormat="1" ht="12" x14ac:dyDescent="0.2">
      <c r="A44" s="41">
        <v>35</v>
      </c>
      <c r="B44" s="61" t="str">
        <f>B33</f>
        <v>федеральный бюджет</v>
      </c>
      <c r="C44" s="69">
        <f t="shared" si="16"/>
        <v>0</v>
      </c>
      <c r="D44" s="69">
        <v>0</v>
      </c>
      <c r="E44" s="69">
        <v>0</v>
      </c>
      <c r="F44" s="69">
        <v>0</v>
      </c>
      <c r="G44" s="69">
        <v>0</v>
      </c>
      <c r="H44" s="69">
        <v>0</v>
      </c>
      <c r="I44" s="69">
        <v>0</v>
      </c>
      <c r="J44" s="54"/>
      <c r="K44" s="41"/>
    </row>
    <row r="45" spans="1:11" s="38" customFormat="1" ht="12" x14ac:dyDescent="0.2">
      <c r="A45" s="41">
        <v>36</v>
      </c>
      <c r="B45" s="61" t="str">
        <f>B34</f>
        <v>областной бюджет</v>
      </c>
      <c r="C45" s="69">
        <f t="shared" si="16"/>
        <v>0</v>
      </c>
      <c r="D45" s="69">
        <v>0</v>
      </c>
      <c r="E45" s="69">
        <v>0</v>
      </c>
      <c r="F45" s="69">
        <v>0</v>
      </c>
      <c r="G45" s="69">
        <v>0</v>
      </c>
      <c r="H45" s="69">
        <f>158400000-158400000</f>
        <v>0</v>
      </c>
      <c r="I45" s="69">
        <v>0</v>
      </c>
      <c r="J45" s="54"/>
      <c r="K45" s="41"/>
    </row>
    <row r="46" spans="1:11" s="38" customFormat="1" ht="12" x14ac:dyDescent="0.2">
      <c r="A46" s="41">
        <v>37</v>
      </c>
      <c r="B46" s="61" t="str">
        <f>B35</f>
        <v>местный бюджет</v>
      </c>
      <c r="C46" s="69">
        <f t="shared" si="16"/>
        <v>12197225</v>
      </c>
      <c r="D46" s="69">
        <v>0</v>
      </c>
      <c r="E46" s="69">
        <v>0</v>
      </c>
      <c r="F46" s="69">
        <f>4000000-4000000</f>
        <v>0</v>
      </c>
      <c r="G46" s="69">
        <v>0</v>
      </c>
      <c r="H46" s="69">
        <f>17600000-17600000</f>
        <v>0</v>
      </c>
      <c r="I46" s="69">
        <f>21600000-9402775</f>
        <v>12197225</v>
      </c>
      <c r="J46" s="54"/>
      <c r="K46" s="41"/>
    </row>
    <row r="47" spans="1:11" s="38" customFormat="1" ht="12" x14ac:dyDescent="0.2">
      <c r="A47" s="41">
        <v>38</v>
      </c>
      <c r="B47" s="61" t="str">
        <f>B36</f>
        <v>внебюджетные источники</v>
      </c>
      <c r="C47" s="69">
        <f t="shared" si="16"/>
        <v>0</v>
      </c>
      <c r="D47" s="69">
        <v>0</v>
      </c>
      <c r="E47" s="69">
        <v>0</v>
      </c>
      <c r="F47" s="69">
        <v>0</v>
      </c>
      <c r="G47" s="69">
        <v>0</v>
      </c>
      <c r="H47" s="69">
        <v>0</v>
      </c>
      <c r="I47" s="69">
        <v>0</v>
      </c>
      <c r="J47" s="54"/>
      <c r="K47" s="41"/>
    </row>
    <row r="48" spans="1:11" s="38" customFormat="1" ht="60" x14ac:dyDescent="0.2">
      <c r="A48" s="41">
        <v>39</v>
      </c>
      <c r="B48" s="65" t="s">
        <v>129</v>
      </c>
      <c r="C48" s="68">
        <f t="shared" si="16"/>
        <v>668332</v>
      </c>
      <c r="D48" s="68">
        <f t="shared" ref="D48:I48" si="23">SUM(D49:D52)</f>
        <v>0</v>
      </c>
      <c r="E48" s="68">
        <f t="shared" si="23"/>
        <v>0</v>
      </c>
      <c r="F48" s="68">
        <f t="shared" si="23"/>
        <v>668332</v>
      </c>
      <c r="G48" s="68">
        <f t="shared" si="23"/>
        <v>0</v>
      </c>
      <c r="H48" s="68">
        <f t="shared" si="23"/>
        <v>0</v>
      </c>
      <c r="I48" s="68">
        <f t="shared" si="23"/>
        <v>0</v>
      </c>
      <c r="J48" s="54" t="s">
        <v>150</v>
      </c>
      <c r="K48" s="41" t="s">
        <v>149</v>
      </c>
    </row>
    <row r="49" spans="1:11" s="38" customFormat="1" ht="12" x14ac:dyDescent="0.2">
      <c r="A49" s="41">
        <v>40</v>
      </c>
      <c r="B49" s="61" t="str">
        <f>B44</f>
        <v>федеральный бюджет</v>
      </c>
      <c r="C49" s="69">
        <f t="shared" si="16"/>
        <v>0</v>
      </c>
      <c r="D49" s="69">
        <v>0</v>
      </c>
      <c r="E49" s="69">
        <v>0</v>
      </c>
      <c r="F49" s="69">
        <v>0</v>
      </c>
      <c r="G49" s="69">
        <v>0</v>
      </c>
      <c r="H49" s="69">
        <v>0</v>
      </c>
      <c r="I49" s="69">
        <v>0</v>
      </c>
      <c r="J49" s="54"/>
      <c r="K49" s="41"/>
    </row>
    <row r="50" spans="1:11" s="38" customFormat="1" ht="12" x14ac:dyDescent="0.2">
      <c r="A50" s="41">
        <v>41</v>
      </c>
      <c r="B50" s="61" t="str">
        <f>B45</f>
        <v>областной бюджет</v>
      </c>
      <c r="C50" s="69">
        <f t="shared" si="16"/>
        <v>0</v>
      </c>
      <c r="D50" s="69">
        <v>0</v>
      </c>
      <c r="E50" s="69">
        <v>0</v>
      </c>
      <c r="F50" s="69">
        <v>0</v>
      </c>
      <c r="G50" s="69">
        <v>0</v>
      </c>
      <c r="H50" s="69">
        <v>0</v>
      </c>
      <c r="I50" s="69">
        <v>0</v>
      </c>
      <c r="J50" s="54"/>
      <c r="K50" s="41"/>
    </row>
    <row r="51" spans="1:11" s="38" customFormat="1" ht="12" x14ac:dyDescent="0.2">
      <c r="A51" s="41">
        <v>42</v>
      </c>
      <c r="B51" s="61" t="str">
        <f>B46</f>
        <v>местный бюджет</v>
      </c>
      <c r="C51" s="69">
        <f t="shared" si="16"/>
        <v>668332</v>
      </c>
      <c r="D51" s="69">
        <v>0</v>
      </c>
      <c r="E51" s="69">
        <v>0</v>
      </c>
      <c r="F51" s="69">
        <f>600000+68332</f>
        <v>668332</v>
      </c>
      <c r="G51" s="69">
        <v>0</v>
      </c>
      <c r="H51" s="69">
        <v>0</v>
      </c>
      <c r="I51" s="69">
        <v>0</v>
      </c>
      <c r="J51" s="54"/>
      <c r="K51" s="41"/>
    </row>
    <row r="52" spans="1:11" s="38" customFormat="1" ht="12" x14ac:dyDescent="0.2">
      <c r="A52" s="41">
        <v>43</v>
      </c>
      <c r="B52" s="61" t="str">
        <f>B47</f>
        <v>внебюджетные источники</v>
      </c>
      <c r="C52" s="69">
        <f t="shared" si="16"/>
        <v>0</v>
      </c>
      <c r="D52" s="69">
        <v>0</v>
      </c>
      <c r="E52" s="69">
        <v>0</v>
      </c>
      <c r="F52" s="69">
        <v>0</v>
      </c>
      <c r="G52" s="69">
        <v>0</v>
      </c>
      <c r="H52" s="69">
        <v>0</v>
      </c>
      <c r="I52" s="69">
        <v>0</v>
      </c>
      <c r="J52" s="54"/>
      <c r="K52" s="41"/>
    </row>
    <row r="53" spans="1:11" s="38" customFormat="1" ht="12" x14ac:dyDescent="0.2">
      <c r="A53" s="41">
        <v>44</v>
      </c>
      <c r="B53" s="200" t="s">
        <v>151</v>
      </c>
      <c r="C53" s="200"/>
      <c r="D53" s="200"/>
      <c r="E53" s="200"/>
      <c r="F53" s="200"/>
      <c r="G53" s="200"/>
      <c r="H53" s="200"/>
      <c r="I53" s="200"/>
      <c r="J53" s="200"/>
      <c r="K53" s="41"/>
    </row>
    <row r="54" spans="1:11" s="38" customFormat="1" ht="24" x14ac:dyDescent="0.2">
      <c r="A54" s="41">
        <v>45</v>
      </c>
      <c r="B54" s="72" t="s">
        <v>152</v>
      </c>
      <c r="C54" s="68">
        <f>SUM(D54:I54)</f>
        <v>0</v>
      </c>
      <c r="D54" s="68">
        <f t="shared" ref="D54:I54" si="24">SUM(D55:D58)</f>
        <v>0</v>
      </c>
      <c r="E54" s="68">
        <f t="shared" si="24"/>
        <v>0</v>
      </c>
      <c r="F54" s="68">
        <f t="shared" si="24"/>
        <v>0</v>
      </c>
      <c r="G54" s="68">
        <f t="shared" si="24"/>
        <v>0</v>
      </c>
      <c r="H54" s="68">
        <f t="shared" si="24"/>
        <v>0</v>
      </c>
      <c r="I54" s="68">
        <f t="shared" si="24"/>
        <v>0</v>
      </c>
      <c r="J54" s="41"/>
      <c r="K54" s="41"/>
    </row>
    <row r="55" spans="1:11" s="38" customFormat="1" ht="12" x14ac:dyDescent="0.2">
      <c r="A55" s="41">
        <v>46</v>
      </c>
      <c r="B55" s="71" t="s">
        <v>59</v>
      </c>
      <c r="C55" s="69">
        <f t="shared" ref="C55:C58" si="25">SUM(D55:I55)</f>
        <v>0</v>
      </c>
      <c r="D55" s="69">
        <v>0</v>
      </c>
      <c r="E55" s="69">
        <v>0</v>
      </c>
      <c r="F55" s="69">
        <v>0</v>
      </c>
      <c r="G55" s="69">
        <v>0</v>
      </c>
      <c r="H55" s="69">
        <v>0</v>
      </c>
      <c r="I55" s="69">
        <v>0</v>
      </c>
      <c r="J55" s="54"/>
      <c r="K55" s="41"/>
    </row>
    <row r="56" spans="1:11" s="38" customFormat="1" ht="12" x14ac:dyDescent="0.2">
      <c r="A56" s="41">
        <v>47</v>
      </c>
      <c r="B56" s="71" t="s">
        <v>10</v>
      </c>
      <c r="C56" s="69">
        <f t="shared" si="25"/>
        <v>0</v>
      </c>
      <c r="D56" s="69">
        <v>0</v>
      </c>
      <c r="E56" s="69">
        <v>0</v>
      </c>
      <c r="F56" s="69">
        <v>0</v>
      </c>
      <c r="G56" s="69">
        <v>0</v>
      </c>
      <c r="H56" s="69">
        <v>0</v>
      </c>
      <c r="I56" s="69">
        <v>0</v>
      </c>
      <c r="J56" s="54"/>
      <c r="K56" s="41"/>
    </row>
    <row r="57" spans="1:11" s="38" customFormat="1" ht="12" x14ac:dyDescent="0.2">
      <c r="A57" s="41">
        <v>48</v>
      </c>
      <c r="B57" s="71" t="s">
        <v>11</v>
      </c>
      <c r="C57" s="69">
        <f t="shared" si="25"/>
        <v>0</v>
      </c>
      <c r="D57" s="69">
        <v>0</v>
      </c>
      <c r="E57" s="69">
        <v>0</v>
      </c>
      <c r="F57" s="69">
        <v>0</v>
      </c>
      <c r="G57" s="69">
        <v>0</v>
      </c>
      <c r="H57" s="69">
        <v>0</v>
      </c>
      <c r="I57" s="69">
        <v>0</v>
      </c>
      <c r="J57" s="54"/>
      <c r="K57" s="41"/>
    </row>
    <row r="58" spans="1:11" s="38" customFormat="1" ht="12" x14ac:dyDescent="0.2">
      <c r="A58" s="41">
        <v>49</v>
      </c>
      <c r="B58" s="71" t="s">
        <v>12</v>
      </c>
      <c r="C58" s="69">
        <f t="shared" si="25"/>
        <v>0</v>
      </c>
      <c r="D58" s="69">
        <v>0</v>
      </c>
      <c r="E58" s="69">
        <v>0</v>
      </c>
      <c r="F58" s="69">
        <v>0</v>
      </c>
      <c r="G58" s="69">
        <v>0</v>
      </c>
      <c r="H58" s="69">
        <v>0</v>
      </c>
      <c r="I58" s="69">
        <v>0</v>
      </c>
      <c r="J58" s="54"/>
      <c r="K58" s="41"/>
    </row>
    <row r="59" spans="1:11" s="38" customFormat="1" ht="12" x14ac:dyDescent="0.2">
      <c r="A59" s="41">
        <v>50</v>
      </c>
      <c r="B59" s="224" t="s">
        <v>22</v>
      </c>
      <c r="C59" s="224"/>
      <c r="D59" s="224"/>
      <c r="E59" s="224"/>
      <c r="F59" s="224"/>
      <c r="G59" s="224"/>
      <c r="H59" s="224"/>
      <c r="I59" s="224"/>
      <c r="J59" s="224"/>
      <c r="K59" s="41"/>
    </row>
    <row r="60" spans="1:11" s="38" customFormat="1" ht="24" x14ac:dyDescent="0.2">
      <c r="A60" s="41">
        <v>51</v>
      </c>
      <c r="B60" s="57" t="s">
        <v>23</v>
      </c>
      <c r="C60" s="68">
        <f t="shared" ref="C60:C94" si="26">SUM(D60:I60)</f>
        <v>491137159.19</v>
      </c>
      <c r="D60" s="68">
        <f>SUM(D61:D64)</f>
        <v>84813030.400000006</v>
      </c>
      <c r="E60" s="68">
        <f t="shared" ref="E60:I60" si="27">SUM(E61:E64)</f>
        <v>73908930.060000002</v>
      </c>
      <c r="F60" s="68">
        <f t="shared" si="27"/>
        <v>94828224.520000011</v>
      </c>
      <c r="G60" s="68">
        <f t="shared" si="27"/>
        <v>83714271.280000001</v>
      </c>
      <c r="H60" s="68">
        <f t="shared" si="27"/>
        <v>74789701.929999992</v>
      </c>
      <c r="I60" s="68">
        <f t="shared" si="27"/>
        <v>79083001</v>
      </c>
      <c r="J60" s="54"/>
      <c r="K60" s="41"/>
    </row>
    <row r="61" spans="1:11" s="38" customFormat="1" ht="12" x14ac:dyDescent="0.2">
      <c r="A61" s="41">
        <v>52</v>
      </c>
      <c r="B61" s="61" t="s">
        <v>59</v>
      </c>
      <c r="C61" s="69">
        <f t="shared" si="26"/>
        <v>314600</v>
      </c>
      <c r="D61" s="69">
        <f>D66+D76+D94+D99+D109+D152+D157+D162+D172+D182+D192+D197+D202</f>
        <v>64600</v>
      </c>
      <c r="E61" s="69">
        <f t="shared" ref="E61:I64" si="28">E66+E76+E94+E99+E109+E152+E157+E162+E172+E182+E192+E197+E202</f>
        <v>150000</v>
      </c>
      <c r="F61" s="69">
        <f t="shared" si="28"/>
        <v>100000</v>
      </c>
      <c r="G61" s="69">
        <f t="shared" si="28"/>
        <v>0</v>
      </c>
      <c r="H61" s="69">
        <f t="shared" si="28"/>
        <v>0</v>
      </c>
      <c r="I61" s="69">
        <f t="shared" si="28"/>
        <v>0</v>
      </c>
      <c r="J61" s="54"/>
      <c r="K61" s="41"/>
    </row>
    <row r="62" spans="1:11" s="38" customFormat="1" ht="12" x14ac:dyDescent="0.2">
      <c r="A62" s="41">
        <v>53</v>
      </c>
      <c r="B62" s="61" t="s">
        <v>10</v>
      </c>
      <c r="C62" s="69">
        <f t="shared" si="26"/>
        <v>1283463</v>
      </c>
      <c r="D62" s="69">
        <f>D67+D77+D95+D100+D110+D153+D158+D163+D173+D183+D193+D198+D203</f>
        <v>960100</v>
      </c>
      <c r="E62" s="69">
        <f t="shared" si="28"/>
        <v>0</v>
      </c>
      <c r="F62" s="69">
        <f t="shared" si="28"/>
        <v>275214</v>
      </c>
      <c r="G62" s="69">
        <f t="shared" si="28"/>
        <v>48149</v>
      </c>
      <c r="H62" s="69">
        <f t="shared" si="28"/>
        <v>0</v>
      </c>
      <c r="I62" s="69">
        <f t="shared" si="28"/>
        <v>0</v>
      </c>
      <c r="J62" s="54"/>
      <c r="K62" s="41"/>
    </row>
    <row r="63" spans="1:11" s="38" customFormat="1" ht="12" x14ac:dyDescent="0.2">
      <c r="A63" s="41">
        <v>54</v>
      </c>
      <c r="B63" s="61" t="s">
        <v>11</v>
      </c>
      <c r="C63" s="69">
        <f t="shared" si="26"/>
        <v>437131305.19</v>
      </c>
      <c r="D63" s="69">
        <f>D68+D78+D96+D101+D111+D154+D159+D164+D174+D184+D194+D199+D204</f>
        <v>75140930.400000006</v>
      </c>
      <c r="E63" s="69">
        <f t="shared" si="28"/>
        <v>66010001.060000002</v>
      </c>
      <c r="F63" s="69">
        <f t="shared" si="28"/>
        <v>85184144.520000011</v>
      </c>
      <c r="G63" s="69">
        <f t="shared" si="28"/>
        <v>74737790.280000001</v>
      </c>
      <c r="H63" s="69">
        <f t="shared" si="28"/>
        <v>65882569.929999992</v>
      </c>
      <c r="I63" s="69">
        <f t="shared" si="28"/>
        <v>70175869</v>
      </c>
      <c r="J63" s="54"/>
      <c r="K63" s="41"/>
    </row>
    <row r="64" spans="1:11" s="38" customFormat="1" ht="12" x14ac:dyDescent="0.2">
      <c r="A64" s="41">
        <v>55</v>
      </c>
      <c r="B64" s="61" t="s">
        <v>12</v>
      </c>
      <c r="C64" s="69">
        <f t="shared" si="26"/>
        <v>52407791</v>
      </c>
      <c r="D64" s="69">
        <f>D69+D79+D97+D102+D112+D155+D160+D165+D175+D185+D195+D200+D205</f>
        <v>8647400</v>
      </c>
      <c r="E64" s="69">
        <f t="shared" si="28"/>
        <v>7748929</v>
      </c>
      <c r="F64" s="69">
        <f t="shared" si="28"/>
        <v>9268866</v>
      </c>
      <c r="G64" s="69">
        <f t="shared" si="28"/>
        <v>8928332</v>
      </c>
      <c r="H64" s="69">
        <f t="shared" si="28"/>
        <v>8907132</v>
      </c>
      <c r="I64" s="69">
        <f t="shared" si="28"/>
        <v>8907132</v>
      </c>
      <c r="J64" s="54"/>
      <c r="K64" s="41"/>
    </row>
    <row r="65" spans="1:11" s="38" customFormat="1" ht="60" x14ac:dyDescent="0.2">
      <c r="A65" s="41">
        <v>56</v>
      </c>
      <c r="B65" s="65" t="s">
        <v>82</v>
      </c>
      <c r="C65" s="73">
        <f t="shared" ref="C65:C69" si="29">SUM(D65:I65)</f>
        <v>16537772.809999999</v>
      </c>
      <c r="D65" s="73">
        <f>SUM(D66:D69)</f>
        <v>3782500.88</v>
      </c>
      <c r="E65" s="73">
        <f>SUM(E66:E69)</f>
        <v>3089066</v>
      </c>
      <c r="F65" s="73">
        <f t="shared" ref="F65:I65" si="30">SUM(F66:F69)</f>
        <v>3511547</v>
      </c>
      <c r="G65" s="73">
        <f t="shared" si="30"/>
        <v>3030000</v>
      </c>
      <c r="H65" s="73">
        <f t="shared" si="30"/>
        <v>94658.930000000168</v>
      </c>
      <c r="I65" s="73">
        <f t="shared" si="30"/>
        <v>3030000</v>
      </c>
      <c r="J65" s="54" t="s">
        <v>153</v>
      </c>
      <c r="K65" s="41" t="s">
        <v>149</v>
      </c>
    </row>
    <row r="66" spans="1:11" s="38" customFormat="1" ht="12" x14ac:dyDescent="0.2">
      <c r="A66" s="41">
        <v>57</v>
      </c>
      <c r="B66" s="61" t="s">
        <v>59</v>
      </c>
      <c r="C66" s="69">
        <f t="shared" si="29"/>
        <v>0</v>
      </c>
      <c r="D66" s="69">
        <v>0</v>
      </c>
      <c r="E66" s="69">
        <v>0</v>
      </c>
      <c r="F66" s="69">
        <v>0</v>
      </c>
      <c r="G66" s="69">
        <v>0</v>
      </c>
      <c r="H66" s="69">
        <v>0</v>
      </c>
      <c r="I66" s="69">
        <v>0</v>
      </c>
      <c r="J66" s="54"/>
      <c r="K66" s="41"/>
    </row>
    <row r="67" spans="1:11" s="38" customFormat="1" ht="12" x14ac:dyDescent="0.2">
      <c r="A67" s="41">
        <v>58</v>
      </c>
      <c r="B67" s="61" t="s">
        <v>10</v>
      </c>
      <c r="C67" s="69">
        <f t="shared" si="29"/>
        <v>180000</v>
      </c>
      <c r="D67" s="69">
        <v>0</v>
      </c>
      <c r="E67" s="69">
        <v>0</v>
      </c>
      <c r="F67" s="69">
        <v>180000</v>
      </c>
      <c r="G67" s="69">
        <v>0</v>
      </c>
      <c r="H67" s="69">
        <v>0</v>
      </c>
      <c r="I67" s="69">
        <v>0</v>
      </c>
      <c r="J67" s="54"/>
      <c r="K67" s="41"/>
    </row>
    <row r="68" spans="1:11" s="38" customFormat="1" ht="12" x14ac:dyDescent="0.2">
      <c r="A68" s="41">
        <v>59</v>
      </c>
      <c r="B68" s="61" t="s">
        <v>11</v>
      </c>
      <c r="C68" s="69">
        <f t="shared" si="29"/>
        <v>16357772.809999999</v>
      </c>
      <c r="D68" s="69">
        <f>2400000+D73+30000-100000+300000+421000+582500.88</f>
        <v>3782500.88</v>
      </c>
      <c r="E68" s="69">
        <f>2400000+E73+695000-200000-29890+173956</f>
        <v>3089066</v>
      </c>
      <c r="F68" s="69">
        <f>2400000+540000+70757-23060+343850</f>
        <v>3331547</v>
      </c>
      <c r="G68" s="69">
        <f>4000000-1060000+90000</f>
        <v>3030000</v>
      </c>
      <c r="H68" s="69">
        <f>4200000-1260000+90000-2935341.07</f>
        <v>94658.930000000168</v>
      </c>
      <c r="I68" s="69">
        <f>6000000-2970000</f>
        <v>3030000</v>
      </c>
      <c r="J68" s="54"/>
      <c r="K68" s="41"/>
    </row>
    <row r="69" spans="1:11" s="38" customFormat="1" ht="12" x14ac:dyDescent="0.2">
      <c r="A69" s="41">
        <v>60</v>
      </c>
      <c r="B69" s="61" t="s">
        <v>12</v>
      </c>
      <c r="C69" s="69">
        <f t="shared" si="29"/>
        <v>0</v>
      </c>
      <c r="D69" s="69">
        <v>0</v>
      </c>
      <c r="E69" s="69">
        <v>0</v>
      </c>
      <c r="F69" s="69">
        <v>0</v>
      </c>
      <c r="G69" s="69">
        <v>0</v>
      </c>
      <c r="H69" s="69">
        <v>0</v>
      </c>
      <c r="I69" s="69">
        <v>0</v>
      </c>
      <c r="J69" s="54"/>
      <c r="K69" s="41"/>
    </row>
    <row r="70" spans="1:11" s="38" customFormat="1" ht="72" x14ac:dyDescent="0.2">
      <c r="A70" s="41">
        <v>61</v>
      </c>
      <c r="B70" s="65" t="s">
        <v>115</v>
      </c>
      <c r="C70" s="73">
        <f t="shared" ref="C70:C72" si="31">SUM(D70:I70)</f>
        <v>705882.5</v>
      </c>
      <c r="D70" s="73">
        <f>SUM(D71:D74)</f>
        <v>149000</v>
      </c>
      <c r="E70" s="73">
        <f t="shared" ref="E70:I70" si="32">SUM(E71:E74)</f>
        <v>50000</v>
      </c>
      <c r="F70" s="73">
        <f t="shared" si="32"/>
        <v>187032.5</v>
      </c>
      <c r="G70" s="73">
        <f t="shared" si="32"/>
        <v>319850</v>
      </c>
      <c r="H70" s="73">
        <f t="shared" si="32"/>
        <v>0</v>
      </c>
      <c r="I70" s="73">
        <f t="shared" si="32"/>
        <v>0</v>
      </c>
      <c r="J70" s="54" t="s">
        <v>154</v>
      </c>
      <c r="K70" s="41" t="s">
        <v>149</v>
      </c>
    </row>
    <row r="71" spans="1:11" s="38" customFormat="1" ht="12" x14ac:dyDescent="0.2">
      <c r="A71" s="41">
        <v>62</v>
      </c>
      <c r="B71" s="61" t="s">
        <v>59</v>
      </c>
      <c r="C71" s="69">
        <f t="shared" si="31"/>
        <v>0</v>
      </c>
      <c r="D71" s="69">
        <v>0</v>
      </c>
      <c r="E71" s="69">
        <v>0</v>
      </c>
      <c r="F71" s="69">
        <v>0</v>
      </c>
      <c r="G71" s="69">
        <v>0</v>
      </c>
      <c r="H71" s="69">
        <v>0</v>
      </c>
      <c r="I71" s="69">
        <v>0</v>
      </c>
      <c r="J71" s="74"/>
      <c r="K71" s="41"/>
    </row>
    <row r="72" spans="1:11" s="38" customFormat="1" ht="12" x14ac:dyDescent="0.2">
      <c r="A72" s="41">
        <v>63</v>
      </c>
      <c r="B72" s="61" t="s">
        <v>10</v>
      </c>
      <c r="C72" s="69">
        <f t="shared" si="31"/>
        <v>0</v>
      </c>
      <c r="D72" s="69">
        <v>0</v>
      </c>
      <c r="E72" s="69">
        <v>0</v>
      </c>
      <c r="F72" s="69">
        <v>0</v>
      </c>
      <c r="G72" s="69">
        <v>0</v>
      </c>
      <c r="H72" s="69">
        <v>0</v>
      </c>
      <c r="I72" s="69">
        <v>0</v>
      </c>
      <c r="J72" s="54"/>
      <c r="K72" s="41"/>
    </row>
    <row r="73" spans="1:11" s="38" customFormat="1" ht="12" x14ac:dyDescent="0.2">
      <c r="A73" s="41">
        <v>64</v>
      </c>
      <c r="B73" s="61" t="s">
        <v>11</v>
      </c>
      <c r="C73" s="69">
        <f>SUM(D73:I73)</f>
        <v>705882.5</v>
      </c>
      <c r="D73" s="69">
        <v>149000</v>
      </c>
      <c r="E73" s="69">
        <v>50000</v>
      </c>
      <c r="F73" s="69">
        <f>100000+87032.5</f>
        <v>187032.5</v>
      </c>
      <c r="G73" s="69">
        <v>319850</v>
      </c>
      <c r="H73" s="69">
        <v>0</v>
      </c>
      <c r="I73" s="69">
        <v>0</v>
      </c>
      <c r="J73" s="54"/>
      <c r="K73" s="41"/>
    </row>
    <row r="74" spans="1:11" s="38" customFormat="1" ht="12" x14ac:dyDescent="0.2">
      <c r="A74" s="41">
        <v>65</v>
      </c>
      <c r="B74" s="61" t="s">
        <v>12</v>
      </c>
      <c r="C74" s="69">
        <f t="shared" ref="C74" si="33">SUM(D74:I74)</f>
        <v>0</v>
      </c>
      <c r="D74" s="69"/>
      <c r="E74" s="69"/>
      <c r="F74" s="69"/>
      <c r="G74" s="69"/>
      <c r="H74" s="69"/>
      <c r="I74" s="69"/>
      <c r="J74" s="54"/>
      <c r="K74" s="41"/>
    </row>
    <row r="75" spans="1:11" s="38" customFormat="1" ht="60" x14ac:dyDescent="0.2">
      <c r="A75" s="41">
        <v>66</v>
      </c>
      <c r="B75" s="65" t="s">
        <v>78</v>
      </c>
      <c r="C75" s="73">
        <f t="shared" si="26"/>
        <v>5313357.82</v>
      </c>
      <c r="D75" s="73">
        <f>SUM(D76:D79)</f>
        <v>3764994.8200000003</v>
      </c>
      <c r="E75" s="73">
        <f t="shared" ref="E75:I75" si="34">SUM(E76:E79)</f>
        <v>450000</v>
      </c>
      <c r="F75" s="73">
        <f t="shared" si="34"/>
        <v>95214</v>
      </c>
      <c r="G75" s="73">
        <f t="shared" si="34"/>
        <v>1003149</v>
      </c>
      <c r="H75" s="73">
        <f t="shared" si="34"/>
        <v>0</v>
      </c>
      <c r="I75" s="73">
        <f t="shared" si="34"/>
        <v>0</v>
      </c>
      <c r="J75" s="54" t="s">
        <v>154</v>
      </c>
      <c r="K75" s="41" t="s">
        <v>149</v>
      </c>
    </row>
    <row r="76" spans="1:11" s="38" customFormat="1" ht="12" x14ac:dyDescent="0.2">
      <c r="A76" s="41">
        <v>67</v>
      </c>
      <c r="B76" s="61" t="s">
        <v>59</v>
      </c>
      <c r="C76" s="69">
        <f t="shared" si="26"/>
        <v>0</v>
      </c>
      <c r="D76" s="69">
        <v>0</v>
      </c>
      <c r="E76" s="69">
        <v>0</v>
      </c>
      <c r="F76" s="69">
        <v>0</v>
      </c>
      <c r="G76" s="69">
        <v>0</v>
      </c>
      <c r="H76" s="69">
        <v>0</v>
      </c>
      <c r="I76" s="69">
        <v>0</v>
      </c>
      <c r="J76" s="54"/>
      <c r="K76" s="41"/>
    </row>
    <row r="77" spans="1:11" s="38" customFormat="1" ht="12" x14ac:dyDescent="0.2">
      <c r="A77" s="41">
        <v>68</v>
      </c>
      <c r="B77" s="61" t="s">
        <v>10</v>
      </c>
      <c r="C77" s="69">
        <f t="shared" si="26"/>
        <v>793363</v>
      </c>
      <c r="D77" s="69">
        <v>650000</v>
      </c>
      <c r="E77" s="69">
        <f t="shared" ref="D77:I79" si="35">(E81+E85)*1000</f>
        <v>0</v>
      </c>
      <c r="F77" s="69">
        <v>95214</v>
      </c>
      <c r="G77" s="69">
        <f>48149</f>
        <v>48149</v>
      </c>
      <c r="H77" s="69">
        <f t="shared" si="35"/>
        <v>0</v>
      </c>
      <c r="I77" s="69">
        <f t="shared" si="35"/>
        <v>0</v>
      </c>
      <c r="J77" s="54"/>
      <c r="K77" s="41"/>
    </row>
    <row r="78" spans="1:11" s="38" customFormat="1" ht="12" x14ac:dyDescent="0.2">
      <c r="A78" s="41">
        <v>69</v>
      </c>
      <c r="B78" s="61" t="s">
        <v>11</v>
      </c>
      <c r="C78" s="69">
        <f t="shared" si="26"/>
        <v>3919994.8200000003</v>
      </c>
      <c r="D78" s="69">
        <f>(D82+D86)*1000+D91</f>
        <v>2814994.8200000003</v>
      </c>
      <c r="E78" s="69">
        <f>(E82+E86)*1000+50000</f>
        <v>150000</v>
      </c>
      <c r="F78" s="69">
        <f t="shared" si="35"/>
        <v>0</v>
      </c>
      <c r="G78" s="69">
        <f>(G82+G86)*1000-200000+955000</f>
        <v>955000</v>
      </c>
      <c r="H78" s="69">
        <f t="shared" si="35"/>
        <v>0</v>
      </c>
      <c r="I78" s="69">
        <f t="shared" si="35"/>
        <v>0</v>
      </c>
      <c r="J78" s="54"/>
      <c r="K78" s="41"/>
    </row>
    <row r="79" spans="1:11" s="38" customFormat="1" ht="12" x14ac:dyDescent="0.2">
      <c r="A79" s="41">
        <v>70</v>
      </c>
      <c r="B79" s="61" t="s">
        <v>12</v>
      </c>
      <c r="C79" s="69">
        <f t="shared" si="26"/>
        <v>600000</v>
      </c>
      <c r="D79" s="69">
        <f t="shared" si="35"/>
        <v>300000</v>
      </c>
      <c r="E79" s="69">
        <f>(E83+E87)*1000</f>
        <v>300000</v>
      </c>
      <c r="F79" s="69">
        <f>(F83+F87)*1000-300000</f>
        <v>0</v>
      </c>
      <c r="G79" s="69">
        <f>(G83+G87)*1000-400000</f>
        <v>0</v>
      </c>
      <c r="H79" s="69">
        <f>(H83+H87)*1000-400000</f>
        <v>0</v>
      </c>
      <c r="I79" s="69">
        <f>(I83+I87)*1000-400000</f>
        <v>0</v>
      </c>
      <c r="J79" s="54"/>
      <c r="K79" s="41"/>
    </row>
    <row r="80" spans="1:11" s="38" customFormat="1" ht="60" x14ac:dyDescent="0.2">
      <c r="A80" s="41"/>
      <c r="B80" s="61" t="s">
        <v>65</v>
      </c>
      <c r="C80" s="68">
        <f t="shared" si="26"/>
        <v>200</v>
      </c>
      <c r="D80" s="68">
        <f t="shared" ref="D80:I80" si="36">SUM(D81:D83)</f>
        <v>0</v>
      </c>
      <c r="E80" s="68">
        <f t="shared" si="36"/>
        <v>0</v>
      </c>
      <c r="F80" s="68">
        <f t="shared" si="36"/>
        <v>0</v>
      </c>
      <c r="G80" s="68">
        <f t="shared" si="36"/>
        <v>200</v>
      </c>
      <c r="H80" s="68">
        <f t="shared" si="36"/>
        <v>0</v>
      </c>
      <c r="I80" s="68">
        <f t="shared" si="36"/>
        <v>0</v>
      </c>
      <c r="J80" s="54" t="s">
        <v>154</v>
      </c>
      <c r="K80" s="41"/>
    </row>
    <row r="81" spans="1:11" s="38" customFormat="1" ht="12" x14ac:dyDescent="0.2">
      <c r="A81" s="41"/>
      <c r="B81" s="61" t="s">
        <v>10</v>
      </c>
      <c r="C81" s="69">
        <f t="shared" si="26"/>
        <v>0</v>
      </c>
      <c r="D81" s="69"/>
      <c r="E81" s="69"/>
      <c r="F81" s="69"/>
      <c r="G81" s="69"/>
      <c r="H81" s="69"/>
      <c r="I81" s="69"/>
      <c r="J81" s="54"/>
      <c r="K81" s="41"/>
    </row>
    <row r="82" spans="1:11" s="38" customFormat="1" ht="12" x14ac:dyDescent="0.2">
      <c r="A82" s="41"/>
      <c r="B82" s="61" t="s">
        <v>11</v>
      </c>
      <c r="C82" s="69">
        <f t="shared" si="26"/>
        <v>200</v>
      </c>
      <c r="D82" s="69"/>
      <c r="E82" s="69"/>
      <c r="F82" s="69"/>
      <c r="G82" s="69">
        <v>200</v>
      </c>
      <c r="H82" s="69"/>
      <c r="I82" s="69"/>
      <c r="J82" s="54"/>
      <c r="K82" s="41"/>
    </row>
    <row r="83" spans="1:11" s="38" customFormat="1" ht="12" x14ac:dyDescent="0.2">
      <c r="A83" s="41"/>
      <c r="B83" s="61" t="s">
        <v>12</v>
      </c>
      <c r="C83" s="69">
        <f t="shared" si="26"/>
        <v>0</v>
      </c>
      <c r="D83" s="69"/>
      <c r="E83" s="69"/>
      <c r="F83" s="69"/>
      <c r="G83" s="69"/>
      <c r="H83" s="69"/>
      <c r="I83" s="69"/>
      <c r="J83" s="54"/>
      <c r="K83" s="41"/>
    </row>
    <row r="84" spans="1:11" s="38" customFormat="1" ht="60" x14ac:dyDescent="0.2">
      <c r="A84" s="41"/>
      <c r="B84" s="61" t="s">
        <v>24</v>
      </c>
      <c r="C84" s="68">
        <f t="shared" si="26"/>
        <v>3900</v>
      </c>
      <c r="D84" s="68">
        <f t="shared" ref="D84:I84" si="37">SUM(D85:D87)</f>
        <v>2000</v>
      </c>
      <c r="E84" s="68">
        <f t="shared" si="37"/>
        <v>400</v>
      </c>
      <c r="F84" s="68">
        <f t="shared" si="37"/>
        <v>300</v>
      </c>
      <c r="G84" s="68">
        <f t="shared" si="37"/>
        <v>400</v>
      </c>
      <c r="H84" s="68">
        <f t="shared" si="37"/>
        <v>400</v>
      </c>
      <c r="I84" s="68">
        <f t="shared" si="37"/>
        <v>400</v>
      </c>
      <c r="J84" s="54"/>
      <c r="K84" s="41"/>
    </row>
    <row r="85" spans="1:11" s="38" customFormat="1" ht="12" x14ac:dyDescent="0.2">
      <c r="A85" s="41"/>
      <c r="B85" s="61" t="s">
        <v>10</v>
      </c>
      <c r="C85" s="69">
        <f t="shared" si="26"/>
        <v>0</v>
      </c>
      <c r="D85" s="69"/>
      <c r="E85" s="69"/>
      <c r="F85" s="69"/>
      <c r="G85" s="69"/>
      <c r="H85" s="69"/>
      <c r="I85" s="69"/>
      <c r="J85" s="54" t="s">
        <v>155</v>
      </c>
      <c r="K85" s="41"/>
    </row>
    <row r="86" spans="1:11" s="38" customFormat="1" ht="12" x14ac:dyDescent="0.2">
      <c r="A86" s="41"/>
      <c r="B86" s="61" t="s">
        <v>11</v>
      </c>
      <c r="C86" s="69">
        <f t="shared" si="26"/>
        <v>1800</v>
      </c>
      <c r="D86" s="69">
        <v>1700</v>
      </c>
      <c r="E86" s="69">
        <v>100</v>
      </c>
      <c r="F86" s="69">
        <v>0</v>
      </c>
      <c r="G86" s="69"/>
      <c r="H86" s="69"/>
      <c r="I86" s="69"/>
      <c r="J86" s="54"/>
      <c r="K86" s="41"/>
    </row>
    <row r="87" spans="1:11" s="38" customFormat="1" ht="12" x14ac:dyDescent="0.2">
      <c r="A87" s="41"/>
      <c r="B87" s="61" t="s">
        <v>12</v>
      </c>
      <c r="C87" s="69">
        <f t="shared" si="26"/>
        <v>2100</v>
      </c>
      <c r="D87" s="69">
        <v>300</v>
      </c>
      <c r="E87" s="69">
        <v>300</v>
      </c>
      <c r="F87" s="69">
        <v>300</v>
      </c>
      <c r="G87" s="69">
        <v>400</v>
      </c>
      <c r="H87" s="69">
        <v>400</v>
      </c>
      <c r="I87" s="69">
        <v>400</v>
      </c>
      <c r="J87" s="54"/>
      <c r="K87" s="41"/>
    </row>
    <row r="88" spans="1:11" s="38" customFormat="1" ht="72" x14ac:dyDescent="0.2">
      <c r="A88" s="41">
        <v>71</v>
      </c>
      <c r="B88" s="65" t="s">
        <v>116</v>
      </c>
      <c r="C88" s="73">
        <f t="shared" ref="C88:C90" si="38">SUM(D88:I88)</f>
        <v>1114994.82</v>
      </c>
      <c r="D88" s="73">
        <f>SUM(D89:D92)</f>
        <v>1114994.82</v>
      </c>
      <c r="E88" s="73">
        <f t="shared" ref="E88:I88" si="39">SUM(E89:E92)</f>
        <v>0</v>
      </c>
      <c r="F88" s="73">
        <f t="shared" si="39"/>
        <v>0</v>
      </c>
      <c r="G88" s="73">
        <f t="shared" si="39"/>
        <v>0</v>
      </c>
      <c r="H88" s="73">
        <f t="shared" si="39"/>
        <v>0</v>
      </c>
      <c r="I88" s="73">
        <f t="shared" si="39"/>
        <v>0</v>
      </c>
      <c r="J88" s="54" t="s">
        <v>156</v>
      </c>
      <c r="K88" s="41" t="s">
        <v>149</v>
      </c>
    </row>
    <row r="89" spans="1:11" s="38" customFormat="1" ht="12" x14ac:dyDescent="0.2">
      <c r="A89" s="41">
        <v>72</v>
      </c>
      <c r="B89" s="61" t="s">
        <v>59</v>
      </c>
      <c r="C89" s="69">
        <f t="shared" si="38"/>
        <v>0</v>
      </c>
      <c r="D89" s="69">
        <v>0</v>
      </c>
      <c r="E89" s="69">
        <v>0</v>
      </c>
      <c r="F89" s="69">
        <v>0</v>
      </c>
      <c r="G89" s="69">
        <v>0</v>
      </c>
      <c r="H89" s="69">
        <v>0</v>
      </c>
      <c r="I89" s="69">
        <v>0</v>
      </c>
      <c r="J89" s="74"/>
      <c r="K89" s="41"/>
    </row>
    <row r="90" spans="1:11" s="38" customFormat="1" ht="12" x14ac:dyDescent="0.2">
      <c r="A90" s="41">
        <v>73</v>
      </c>
      <c r="B90" s="61" t="s">
        <v>10</v>
      </c>
      <c r="C90" s="69">
        <f t="shared" si="38"/>
        <v>0</v>
      </c>
      <c r="D90" s="69">
        <v>0</v>
      </c>
      <c r="E90" s="69">
        <v>0</v>
      </c>
      <c r="F90" s="69">
        <v>0</v>
      </c>
      <c r="G90" s="69">
        <v>0</v>
      </c>
      <c r="H90" s="69">
        <v>0</v>
      </c>
      <c r="I90" s="69">
        <v>0</v>
      </c>
      <c r="J90" s="75"/>
      <c r="K90" s="41"/>
    </row>
    <row r="91" spans="1:11" s="38" customFormat="1" ht="12" x14ac:dyDescent="0.2">
      <c r="A91" s="41">
        <v>74</v>
      </c>
      <c r="B91" s="61" t="s">
        <v>11</v>
      </c>
      <c r="C91" s="69">
        <f>SUM(D91:I91)</f>
        <v>1114994.82</v>
      </c>
      <c r="D91" s="69">
        <v>1114994.82</v>
      </c>
      <c r="E91" s="69">
        <v>0</v>
      </c>
      <c r="F91" s="69">
        <v>0</v>
      </c>
      <c r="G91" s="69">
        <v>0</v>
      </c>
      <c r="H91" s="69">
        <v>0</v>
      </c>
      <c r="I91" s="69">
        <v>0</v>
      </c>
      <c r="J91" s="54"/>
      <c r="K91" s="41"/>
    </row>
    <row r="92" spans="1:11" s="38" customFormat="1" ht="12" x14ac:dyDescent="0.2">
      <c r="A92" s="41">
        <v>75</v>
      </c>
      <c r="B92" s="61" t="s">
        <v>12</v>
      </c>
      <c r="C92" s="69">
        <f t="shared" ref="C92" si="40">SUM(D92:I92)</f>
        <v>0</v>
      </c>
      <c r="D92" s="69"/>
      <c r="E92" s="69"/>
      <c r="F92" s="69"/>
      <c r="G92" s="69"/>
      <c r="H92" s="69"/>
      <c r="I92" s="69"/>
      <c r="J92" s="54"/>
      <c r="K92" s="41"/>
    </row>
    <row r="93" spans="1:11" s="38" customFormat="1" ht="96" x14ac:dyDescent="0.2">
      <c r="A93" s="41">
        <v>76</v>
      </c>
      <c r="B93" s="65" t="s">
        <v>25</v>
      </c>
      <c r="C93" s="73">
        <f t="shared" si="26"/>
        <v>463750</v>
      </c>
      <c r="D93" s="73">
        <f>SUM(D94:D97)</f>
        <v>50000</v>
      </c>
      <c r="E93" s="73">
        <f>SUM(E94:E97)</f>
        <v>70000</v>
      </c>
      <c r="F93" s="73">
        <f t="shared" ref="F93:I93" si="41">SUM(F94:F97)</f>
        <v>73750</v>
      </c>
      <c r="G93" s="73">
        <f t="shared" si="41"/>
        <v>90000</v>
      </c>
      <c r="H93" s="73">
        <f t="shared" si="41"/>
        <v>90000</v>
      </c>
      <c r="I93" s="73">
        <f t="shared" si="41"/>
        <v>90000</v>
      </c>
      <c r="J93" s="54" t="s">
        <v>157</v>
      </c>
      <c r="K93" s="41" t="s">
        <v>149</v>
      </c>
    </row>
    <row r="94" spans="1:11" s="38" customFormat="1" ht="12" x14ac:dyDescent="0.2">
      <c r="A94" s="41">
        <v>77</v>
      </c>
      <c r="B94" s="61" t="s">
        <v>59</v>
      </c>
      <c r="C94" s="69">
        <f t="shared" si="26"/>
        <v>0</v>
      </c>
      <c r="D94" s="69">
        <v>0</v>
      </c>
      <c r="E94" s="69">
        <v>0</v>
      </c>
      <c r="F94" s="69">
        <v>0</v>
      </c>
      <c r="G94" s="69">
        <v>0</v>
      </c>
      <c r="H94" s="69">
        <v>0</v>
      </c>
      <c r="I94" s="69">
        <v>0</v>
      </c>
      <c r="J94" s="54"/>
      <c r="K94" s="41"/>
    </row>
    <row r="95" spans="1:11" s="38" customFormat="1" ht="12" x14ac:dyDescent="0.2">
      <c r="A95" s="41">
        <v>78</v>
      </c>
      <c r="B95" s="61" t="s">
        <v>10</v>
      </c>
      <c r="C95" s="69">
        <f t="shared" ref="C95:C140" si="42">SUM(D95:I95)</f>
        <v>0</v>
      </c>
      <c r="D95" s="69">
        <v>0</v>
      </c>
      <c r="E95" s="69">
        <v>0</v>
      </c>
      <c r="F95" s="69">
        <v>0</v>
      </c>
      <c r="G95" s="69">
        <v>0</v>
      </c>
      <c r="H95" s="69">
        <v>0</v>
      </c>
      <c r="I95" s="69">
        <v>0</v>
      </c>
      <c r="J95" s="75"/>
      <c r="K95" s="41"/>
    </row>
    <row r="96" spans="1:11" s="38" customFormat="1" ht="12" x14ac:dyDescent="0.2">
      <c r="A96" s="41">
        <v>79</v>
      </c>
      <c r="B96" s="61" t="s">
        <v>11</v>
      </c>
      <c r="C96" s="69">
        <f t="shared" si="42"/>
        <v>463750</v>
      </c>
      <c r="D96" s="69">
        <f>100000-50000</f>
        <v>50000</v>
      </c>
      <c r="E96" s="69">
        <f>50000+20000</f>
        <v>70000</v>
      </c>
      <c r="F96" s="69">
        <f>50000+40000-16250</f>
        <v>73750</v>
      </c>
      <c r="G96" s="69">
        <f>170000-80000</f>
        <v>90000</v>
      </c>
      <c r="H96" s="69">
        <f>200000-110000</f>
        <v>90000</v>
      </c>
      <c r="I96" s="69">
        <f>200000-110000</f>
        <v>90000</v>
      </c>
      <c r="J96" s="54"/>
      <c r="K96" s="41"/>
    </row>
    <row r="97" spans="1:11" s="38" customFormat="1" ht="12" x14ac:dyDescent="0.2">
      <c r="A97" s="41">
        <v>80</v>
      </c>
      <c r="B97" s="61" t="s">
        <v>12</v>
      </c>
      <c r="C97" s="69">
        <f t="shared" si="42"/>
        <v>0</v>
      </c>
      <c r="D97" s="69">
        <v>0</v>
      </c>
      <c r="E97" s="69">
        <v>0</v>
      </c>
      <c r="F97" s="69">
        <v>0</v>
      </c>
      <c r="G97" s="69">
        <v>0</v>
      </c>
      <c r="H97" s="69">
        <v>0</v>
      </c>
      <c r="I97" s="69">
        <v>0</v>
      </c>
      <c r="J97" s="54"/>
      <c r="K97" s="41"/>
    </row>
    <row r="98" spans="1:11" s="38" customFormat="1" ht="60" x14ac:dyDescent="0.2">
      <c r="A98" s="41">
        <v>81</v>
      </c>
      <c r="B98" s="65" t="s">
        <v>26</v>
      </c>
      <c r="C98" s="73">
        <f t="shared" si="42"/>
        <v>789124.53</v>
      </c>
      <c r="D98" s="73">
        <f>SUM(D99:D102)</f>
        <v>134575</v>
      </c>
      <c r="E98" s="73">
        <f t="shared" ref="E98:I98" si="43">SUM(E99:E102)</f>
        <v>53260</v>
      </c>
      <c r="F98" s="73">
        <f t="shared" si="43"/>
        <v>61289.53</v>
      </c>
      <c r="G98" s="73">
        <f t="shared" si="43"/>
        <v>290000</v>
      </c>
      <c r="H98" s="73">
        <f t="shared" si="43"/>
        <v>100000</v>
      </c>
      <c r="I98" s="73">
        <f t="shared" si="43"/>
        <v>150000</v>
      </c>
      <c r="J98" s="54" t="s">
        <v>154</v>
      </c>
      <c r="K98" s="41" t="s">
        <v>149</v>
      </c>
    </row>
    <row r="99" spans="1:11" s="38" customFormat="1" ht="12" x14ac:dyDescent="0.2">
      <c r="A99" s="41">
        <v>82</v>
      </c>
      <c r="B99" s="61" t="s">
        <v>59</v>
      </c>
      <c r="C99" s="69">
        <f t="shared" si="42"/>
        <v>0</v>
      </c>
      <c r="D99" s="69">
        <v>0</v>
      </c>
      <c r="E99" s="69">
        <v>0</v>
      </c>
      <c r="F99" s="69">
        <v>0</v>
      </c>
      <c r="G99" s="69">
        <v>0</v>
      </c>
      <c r="H99" s="69">
        <v>0</v>
      </c>
      <c r="I99" s="69">
        <v>0</v>
      </c>
      <c r="J99" s="54"/>
      <c r="K99" s="41"/>
    </row>
    <row r="100" spans="1:11" s="38" customFormat="1" ht="12" x14ac:dyDescent="0.2">
      <c r="A100" s="41">
        <v>83</v>
      </c>
      <c r="B100" s="61" t="s">
        <v>10</v>
      </c>
      <c r="C100" s="69">
        <f t="shared" si="42"/>
        <v>0</v>
      </c>
      <c r="D100" s="69">
        <v>0</v>
      </c>
      <c r="E100" s="69">
        <v>0</v>
      </c>
      <c r="F100" s="69">
        <v>0</v>
      </c>
      <c r="G100" s="69">
        <v>0</v>
      </c>
      <c r="H100" s="69">
        <v>0</v>
      </c>
      <c r="I100" s="69">
        <v>0</v>
      </c>
      <c r="K100" s="41"/>
    </row>
    <row r="101" spans="1:11" s="38" customFormat="1" ht="12" x14ac:dyDescent="0.2">
      <c r="A101" s="41">
        <v>84</v>
      </c>
      <c r="B101" s="61" t="s">
        <v>11</v>
      </c>
      <c r="C101" s="69">
        <f t="shared" si="42"/>
        <v>789124.53</v>
      </c>
      <c r="D101" s="69">
        <f>100000+100000-65425</f>
        <v>134575</v>
      </c>
      <c r="E101" s="69">
        <f>66000+63000-40000-35740</f>
        <v>53260</v>
      </c>
      <c r="F101" s="69">
        <f>66000+234000-238710.47</f>
        <v>61289.53</v>
      </c>
      <c r="G101" s="69">
        <f>300000-100000+90000</f>
        <v>290000</v>
      </c>
      <c r="H101" s="69">
        <f>350000-150000-100000</f>
        <v>100000</v>
      </c>
      <c r="I101" s="69">
        <f>400000-250000</f>
        <v>150000</v>
      </c>
      <c r="J101" s="54"/>
      <c r="K101" s="41"/>
    </row>
    <row r="102" spans="1:11" s="38" customFormat="1" ht="12" x14ac:dyDescent="0.2">
      <c r="A102" s="41">
        <v>85</v>
      </c>
      <c r="B102" s="61" t="s">
        <v>12</v>
      </c>
      <c r="C102" s="69">
        <f t="shared" si="42"/>
        <v>0</v>
      </c>
      <c r="D102" s="69">
        <v>0</v>
      </c>
      <c r="E102" s="69">
        <v>0</v>
      </c>
      <c r="F102" s="69">
        <v>0</v>
      </c>
      <c r="G102" s="69">
        <v>0</v>
      </c>
      <c r="H102" s="69">
        <v>0</v>
      </c>
      <c r="I102" s="69">
        <v>0</v>
      </c>
      <c r="J102" s="54"/>
      <c r="K102" s="41"/>
    </row>
    <row r="103" spans="1:11" s="38" customFormat="1" ht="72" x14ac:dyDescent="0.2">
      <c r="A103" s="41">
        <v>86</v>
      </c>
      <c r="B103" s="65" t="s">
        <v>158</v>
      </c>
      <c r="C103" s="76">
        <f>SUM(C104:C107)</f>
        <v>15000</v>
      </c>
      <c r="D103" s="76">
        <f t="shared" ref="D103:I103" si="44">SUM(D104:D107)</f>
        <v>0</v>
      </c>
      <c r="E103" s="76">
        <f t="shared" si="44"/>
        <v>0</v>
      </c>
      <c r="F103" s="76">
        <f t="shared" si="44"/>
        <v>15000</v>
      </c>
      <c r="G103" s="76">
        <f t="shared" si="44"/>
        <v>0</v>
      </c>
      <c r="H103" s="76">
        <f t="shared" si="44"/>
        <v>0</v>
      </c>
      <c r="I103" s="76">
        <f t="shared" si="44"/>
        <v>0</v>
      </c>
      <c r="J103" s="54" t="s">
        <v>154</v>
      </c>
      <c r="K103" s="41" t="s">
        <v>149</v>
      </c>
    </row>
    <row r="104" spans="1:11" s="38" customFormat="1" ht="12" x14ac:dyDescent="0.2">
      <c r="A104" s="41">
        <v>87</v>
      </c>
      <c r="B104" s="61" t="s">
        <v>59</v>
      </c>
      <c r="C104" s="69">
        <f t="shared" ref="C104:C107" si="45">SUM(D104:I104)</f>
        <v>0</v>
      </c>
      <c r="D104" s="69">
        <v>0</v>
      </c>
      <c r="E104" s="69">
        <v>0</v>
      </c>
      <c r="F104" s="69">
        <v>0</v>
      </c>
      <c r="G104" s="69">
        <v>0</v>
      </c>
      <c r="H104" s="69">
        <v>0</v>
      </c>
      <c r="I104" s="69">
        <v>0</v>
      </c>
      <c r="J104" s="54"/>
      <c r="K104" s="41"/>
    </row>
    <row r="105" spans="1:11" s="38" customFormat="1" ht="12" x14ac:dyDescent="0.2">
      <c r="A105" s="41">
        <v>88</v>
      </c>
      <c r="B105" s="61" t="s">
        <v>10</v>
      </c>
      <c r="C105" s="69">
        <f t="shared" si="45"/>
        <v>0</v>
      </c>
      <c r="D105" s="69">
        <v>0</v>
      </c>
      <c r="E105" s="69">
        <v>0</v>
      </c>
      <c r="F105" s="69">
        <v>0</v>
      </c>
      <c r="G105" s="69">
        <v>0</v>
      </c>
      <c r="H105" s="69">
        <v>0</v>
      </c>
      <c r="I105" s="69">
        <v>0</v>
      </c>
      <c r="J105" s="54"/>
      <c r="K105" s="41"/>
    </row>
    <row r="106" spans="1:11" s="38" customFormat="1" ht="12" x14ac:dyDescent="0.2">
      <c r="A106" s="41">
        <v>89</v>
      </c>
      <c r="B106" s="61" t="s">
        <v>11</v>
      </c>
      <c r="C106" s="69">
        <f t="shared" si="45"/>
        <v>15000</v>
      </c>
      <c r="D106" s="69">
        <v>0</v>
      </c>
      <c r="E106" s="69">
        <v>0</v>
      </c>
      <c r="F106" s="69">
        <v>15000</v>
      </c>
      <c r="G106" s="69">
        <v>0</v>
      </c>
      <c r="H106" s="69">
        <v>0</v>
      </c>
      <c r="I106" s="69">
        <v>0</v>
      </c>
      <c r="J106" s="54"/>
      <c r="K106" s="41"/>
    </row>
    <row r="107" spans="1:11" s="38" customFormat="1" ht="12" x14ac:dyDescent="0.2">
      <c r="A107" s="41">
        <v>90</v>
      </c>
      <c r="B107" s="61" t="s">
        <v>12</v>
      </c>
      <c r="C107" s="69">
        <f t="shared" si="45"/>
        <v>0</v>
      </c>
      <c r="D107" s="69">
        <v>0</v>
      </c>
      <c r="E107" s="69">
        <v>0</v>
      </c>
      <c r="F107" s="69">
        <v>0</v>
      </c>
      <c r="G107" s="69">
        <v>0</v>
      </c>
      <c r="H107" s="69">
        <v>0</v>
      </c>
      <c r="I107" s="69">
        <v>0</v>
      </c>
      <c r="J107" s="54"/>
      <c r="K107" s="41"/>
    </row>
    <row r="108" spans="1:11" s="38" customFormat="1" ht="108" x14ac:dyDescent="0.2">
      <c r="A108" s="41">
        <v>91</v>
      </c>
      <c r="B108" s="65" t="s">
        <v>79</v>
      </c>
      <c r="C108" s="73">
        <f t="shared" si="42"/>
        <v>17893885.030000001</v>
      </c>
      <c r="D108" s="73">
        <f t="shared" ref="D108:I108" si="46">SUM(D109:D112)</f>
        <v>5728646.1899999995</v>
      </c>
      <c r="E108" s="73">
        <f t="shared" si="46"/>
        <v>1927806.04</v>
      </c>
      <c r="F108" s="73">
        <f t="shared" si="46"/>
        <v>3846151.22</v>
      </c>
      <c r="G108" s="73">
        <f t="shared" si="46"/>
        <v>4016270.2100000009</v>
      </c>
      <c r="H108" s="73">
        <f t="shared" si="46"/>
        <v>2375011.37</v>
      </c>
      <c r="I108" s="73">
        <f t="shared" si="46"/>
        <v>0</v>
      </c>
      <c r="J108" s="54" t="s">
        <v>159</v>
      </c>
      <c r="K108" s="41" t="s">
        <v>149</v>
      </c>
    </row>
    <row r="109" spans="1:11" s="38" customFormat="1" ht="12" x14ac:dyDescent="0.2">
      <c r="A109" s="41">
        <v>92</v>
      </c>
      <c r="B109" s="61" t="s">
        <v>59</v>
      </c>
      <c r="C109" s="69">
        <f t="shared" si="42"/>
        <v>100000</v>
      </c>
      <c r="D109" s="69">
        <v>0</v>
      </c>
      <c r="E109" s="69">
        <v>100000</v>
      </c>
      <c r="F109" s="69">
        <v>0</v>
      </c>
      <c r="G109" s="69">
        <v>0</v>
      </c>
      <c r="H109" s="69">
        <v>0</v>
      </c>
      <c r="I109" s="69">
        <v>0</v>
      </c>
      <c r="J109" s="54"/>
      <c r="K109" s="41"/>
    </row>
    <row r="110" spans="1:11" s="38" customFormat="1" ht="12" x14ac:dyDescent="0.2">
      <c r="A110" s="41">
        <v>93</v>
      </c>
      <c r="B110" s="61" t="s">
        <v>10</v>
      </c>
      <c r="C110" s="69">
        <f t="shared" si="42"/>
        <v>0</v>
      </c>
      <c r="D110" s="69">
        <f t="shared" ref="D110:I110" si="47">(D114+D118+D122+D126+D130+D134+D138)*1000</f>
        <v>0</v>
      </c>
      <c r="E110" s="69">
        <f t="shared" si="47"/>
        <v>0</v>
      </c>
      <c r="F110" s="69">
        <f t="shared" si="47"/>
        <v>0</v>
      </c>
      <c r="G110" s="69">
        <f t="shared" si="47"/>
        <v>0</v>
      </c>
      <c r="H110" s="69">
        <f t="shared" si="47"/>
        <v>0</v>
      </c>
      <c r="I110" s="69">
        <f t="shared" si="47"/>
        <v>0</v>
      </c>
      <c r="K110" s="41"/>
    </row>
    <row r="111" spans="1:11" s="38" customFormat="1" ht="12" x14ac:dyDescent="0.2">
      <c r="A111" s="41">
        <v>94</v>
      </c>
      <c r="B111" s="61" t="s">
        <v>11</v>
      </c>
      <c r="C111" s="69">
        <f t="shared" si="42"/>
        <v>17707341.030000001</v>
      </c>
      <c r="D111" s="69">
        <f>(D115+D119+D123+D127+D131+D135+D139+D144)*1000+D149</f>
        <v>5728646.1899999995</v>
      </c>
      <c r="E111" s="69">
        <f>(E115+E119+E123+E127+E131+E135+E139+E144)*1000+E149+400000+60812.96+294161.89-13816</f>
        <v>1741262.04</v>
      </c>
      <c r="F111" s="69">
        <f>7000000-7000000+3086339+578739+7057.47+174015.75</f>
        <v>3846151.22</v>
      </c>
      <c r="G111" s="77">
        <f>(G115+G119+G123+G127+G131+G135+G139+G144)*1000-6000000+1900395.1+2375011.37-259136.26</f>
        <v>4016270.2100000009</v>
      </c>
      <c r="H111" s="77">
        <f>(H115+H119+H123+H127+H131+H135+H139+H144)*1000-7500000+2375011.37</f>
        <v>2375011.37</v>
      </c>
      <c r="I111" s="69">
        <f>(I115+I119+I123+I127+I131+I135+I139+I144)*1000-5500000</f>
        <v>0</v>
      </c>
      <c r="J111" s="54"/>
      <c r="K111" s="41"/>
    </row>
    <row r="112" spans="1:11" s="38" customFormat="1" ht="12" x14ac:dyDescent="0.2">
      <c r="A112" s="41">
        <v>95</v>
      </c>
      <c r="B112" s="61" t="s">
        <v>12</v>
      </c>
      <c r="C112" s="69">
        <f t="shared" si="42"/>
        <v>86544</v>
      </c>
      <c r="D112" s="69">
        <v>0</v>
      </c>
      <c r="E112" s="69">
        <f>66551+19993</f>
        <v>86544</v>
      </c>
      <c r="F112" s="69">
        <v>0</v>
      </c>
      <c r="G112" s="69">
        <v>0</v>
      </c>
      <c r="H112" s="69">
        <v>0</v>
      </c>
      <c r="I112" s="69">
        <v>0</v>
      </c>
      <c r="J112" s="54"/>
      <c r="K112" s="41"/>
    </row>
    <row r="113" spans="1:11" s="38" customFormat="1" ht="84" x14ac:dyDescent="0.2">
      <c r="A113" s="41"/>
      <c r="B113" s="61" t="s">
        <v>27</v>
      </c>
      <c r="C113" s="69">
        <f t="shared" si="42"/>
        <v>6500</v>
      </c>
      <c r="D113" s="69">
        <f t="shared" ref="D113:I113" si="48">SUM(D114:D116)</f>
        <v>0</v>
      </c>
      <c r="E113" s="69">
        <f t="shared" si="48"/>
        <v>0</v>
      </c>
      <c r="F113" s="69">
        <v>3000</v>
      </c>
      <c r="G113" s="69">
        <f>SUM(G114:G116)</f>
        <v>2000</v>
      </c>
      <c r="H113" s="69">
        <f t="shared" si="48"/>
        <v>1500</v>
      </c>
      <c r="I113" s="69">
        <f t="shared" si="48"/>
        <v>0</v>
      </c>
      <c r="J113" s="54"/>
      <c r="K113" s="41"/>
    </row>
    <row r="114" spans="1:11" s="38" customFormat="1" ht="12" x14ac:dyDescent="0.2">
      <c r="A114" s="41"/>
      <c r="B114" s="61" t="s">
        <v>10</v>
      </c>
      <c r="C114" s="69">
        <f t="shared" si="42"/>
        <v>0</v>
      </c>
      <c r="D114" s="69"/>
      <c r="E114" s="69"/>
      <c r="F114" s="69"/>
      <c r="G114" s="69"/>
      <c r="H114" s="69"/>
      <c r="I114" s="69"/>
      <c r="J114" s="54"/>
      <c r="K114" s="41"/>
    </row>
    <row r="115" spans="1:11" s="38" customFormat="1" ht="24" x14ac:dyDescent="0.2">
      <c r="A115" s="41"/>
      <c r="B115" s="61" t="s">
        <v>11</v>
      </c>
      <c r="C115" s="69">
        <f t="shared" si="42"/>
        <v>3500</v>
      </c>
      <c r="D115" s="69"/>
      <c r="E115" s="69"/>
      <c r="F115" s="69"/>
      <c r="G115" s="69">
        <v>2000</v>
      </c>
      <c r="H115" s="69">
        <v>1500</v>
      </c>
      <c r="I115" s="69"/>
      <c r="J115" s="54" t="s">
        <v>160</v>
      </c>
      <c r="K115" s="41"/>
    </row>
    <row r="116" spans="1:11" s="38" customFormat="1" ht="12" x14ac:dyDescent="0.2">
      <c r="A116" s="41"/>
      <c r="B116" s="61" t="s">
        <v>12</v>
      </c>
      <c r="C116" s="69">
        <f t="shared" si="42"/>
        <v>0</v>
      </c>
      <c r="D116" s="69"/>
      <c r="E116" s="69"/>
      <c r="F116" s="69"/>
      <c r="G116" s="69"/>
      <c r="H116" s="69"/>
      <c r="I116" s="69"/>
      <c r="J116" s="54"/>
      <c r="K116" s="41"/>
    </row>
    <row r="117" spans="1:11" s="38" customFormat="1" ht="108" x14ac:dyDescent="0.2">
      <c r="A117" s="41"/>
      <c r="B117" s="61" t="s">
        <v>28</v>
      </c>
      <c r="C117" s="69">
        <f t="shared" si="42"/>
        <v>0</v>
      </c>
      <c r="D117" s="69">
        <f t="shared" ref="D117:I117" si="49">SUM(D118:D120)</f>
        <v>0</v>
      </c>
      <c r="E117" s="69">
        <f t="shared" si="49"/>
        <v>0</v>
      </c>
      <c r="F117" s="69">
        <f t="shared" si="49"/>
        <v>0</v>
      </c>
      <c r="G117" s="69">
        <f t="shared" si="49"/>
        <v>0</v>
      </c>
      <c r="H117" s="69">
        <f t="shared" si="49"/>
        <v>0</v>
      </c>
      <c r="I117" s="69">
        <f t="shared" si="49"/>
        <v>0</v>
      </c>
      <c r="J117" s="54"/>
      <c r="K117" s="41"/>
    </row>
    <row r="118" spans="1:11" s="38" customFormat="1" ht="12" x14ac:dyDescent="0.2">
      <c r="A118" s="41"/>
      <c r="B118" s="61" t="s">
        <v>10</v>
      </c>
      <c r="C118" s="69">
        <f t="shared" si="42"/>
        <v>0</v>
      </c>
      <c r="D118" s="69"/>
      <c r="E118" s="69"/>
      <c r="F118" s="69"/>
      <c r="G118" s="69"/>
      <c r="H118" s="69"/>
      <c r="I118" s="69"/>
      <c r="J118" s="54"/>
      <c r="K118" s="41"/>
    </row>
    <row r="119" spans="1:11" s="38" customFormat="1" ht="12" x14ac:dyDescent="0.2">
      <c r="A119" s="41"/>
      <c r="B119" s="61" t="s">
        <v>11</v>
      </c>
      <c r="C119" s="69">
        <f t="shared" si="42"/>
        <v>0</v>
      </c>
      <c r="D119" s="69"/>
      <c r="E119" s="69"/>
      <c r="F119" s="69"/>
      <c r="G119" s="69"/>
      <c r="H119" s="69"/>
      <c r="I119" s="69"/>
      <c r="J119" s="54"/>
      <c r="K119" s="41"/>
    </row>
    <row r="120" spans="1:11" s="38" customFormat="1" ht="24" x14ac:dyDescent="0.2">
      <c r="A120" s="41"/>
      <c r="B120" s="61" t="s">
        <v>12</v>
      </c>
      <c r="C120" s="69">
        <f t="shared" si="42"/>
        <v>0</v>
      </c>
      <c r="D120" s="69"/>
      <c r="E120" s="69"/>
      <c r="F120" s="69"/>
      <c r="G120" s="69"/>
      <c r="H120" s="69"/>
      <c r="I120" s="69"/>
      <c r="J120" s="54" t="s">
        <v>161</v>
      </c>
      <c r="K120" s="41"/>
    </row>
    <row r="121" spans="1:11" s="38" customFormat="1" ht="96" x14ac:dyDescent="0.2">
      <c r="A121" s="41"/>
      <c r="B121" s="61" t="s">
        <v>29</v>
      </c>
      <c r="C121" s="69">
        <f t="shared" si="42"/>
        <v>1500</v>
      </c>
      <c r="D121" s="69">
        <f t="shared" ref="D121:I121" si="50">SUM(D122:D124)</f>
        <v>1000</v>
      </c>
      <c r="E121" s="69">
        <f t="shared" si="50"/>
        <v>500</v>
      </c>
      <c r="F121" s="69">
        <f t="shared" si="50"/>
        <v>0</v>
      </c>
      <c r="G121" s="69">
        <f t="shared" si="50"/>
        <v>0</v>
      </c>
      <c r="H121" s="69">
        <f t="shared" si="50"/>
        <v>0</v>
      </c>
      <c r="I121" s="69">
        <f t="shared" si="50"/>
        <v>0</v>
      </c>
      <c r="J121" s="54"/>
      <c r="K121" s="41"/>
    </row>
    <row r="122" spans="1:11" s="38" customFormat="1" ht="12" x14ac:dyDescent="0.2">
      <c r="A122" s="41"/>
      <c r="B122" s="61" t="s">
        <v>10</v>
      </c>
      <c r="C122" s="69">
        <f t="shared" si="42"/>
        <v>0</v>
      </c>
      <c r="D122" s="69"/>
      <c r="E122" s="69"/>
      <c r="F122" s="69"/>
      <c r="G122" s="69"/>
      <c r="H122" s="69"/>
      <c r="I122" s="69"/>
      <c r="J122" s="54"/>
      <c r="K122" s="41"/>
    </row>
    <row r="123" spans="1:11" s="38" customFormat="1" ht="12" x14ac:dyDescent="0.2">
      <c r="A123" s="41"/>
      <c r="B123" s="61" t="s">
        <v>11</v>
      </c>
      <c r="C123" s="69">
        <f t="shared" si="42"/>
        <v>1500</v>
      </c>
      <c r="D123" s="69">
        <f>1500-500</f>
        <v>1000</v>
      </c>
      <c r="E123" s="69">
        <v>500</v>
      </c>
      <c r="F123" s="69"/>
      <c r="G123" s="69"/>
      <c r="H123" s="69"/>
      <c r="I123" s="69"/>
      <c r="J123" s="54"/>
      <c r="K123" s="41"/>
    </row>
    <row r="124" spans="1:11" s="38" customFormat="1" ht="12" x14ac:dyDescent="0.2">
      <c r="A124" s="41"/>
      <c r="B124" s="61" t="s">
        <v>12</v>
      </c>
      <c r="C124" s="69">
        <f t="shared" si="42"/>
        <v>0</v>
      </c>
      <c r="D124" s="69"/>
      <c r="E124" s="69"/>
      <c r="F124" s="69"/>
      <c r="G124" s="69"/>
      <c r="H124" s="69"/>
      <c r="I124" s="69"/>
      <c r="J124" s="54"/>
      <c r="K124" s="41"/>
    </row>
    <row r="125" spans="1:11" s="38" customFormat="1" ht="108" x14ac:dyDescent="0.2">
      <c r="A125" s="41"/>
      <c r="B125" s="61" t="s">
        <v>30</v>
      </c>
      <c r="C125" s="69">
        <f t="shared" si="42"/>
        <v>2200</v>
      </c>
      <c r="D125" s="69">
        <f t="shared" ref="D125:I125" si="51">SUM(D126:D128)</f>
        <v>200</v>
      </c>
      <c r="E125" s="69">
        <f t="shared" si="51"/>
        <v>0</v>
      </c>
      <c r="F125" s="69">
        <f t="shared" si="51"/>
        <v>0</v>
      </c>
      <c r="G125" s="69">
        <f t="shared" si="51"/>
        <v>2000</v>
      </c>
      <c r="H125" s="69">
        <f t="shared" si="51"/>
        <v>0</v>
      </c>
      <c r="I125" s="69">
        <f t="shared" si="51"/>
        <v>0</v>
      </c>
      <c r="J125" s="54" t="s">
        <v>154</v>
      </c>
      <c r="K125" s="41"/>
    </row>
    <row r="126" spans="1:11" s="38" customFormat="1" ht="12" x14ac:dyDescent="0.2">
      <c r="A126" s="41"/>
      <c r="B126" s="61" t="s">
        <v>10</v>
      </c>
      <c r="C126" s="69">
        <f t="shared" si="42"/>
        <v>0</v>
      </c>
      <c r="D126" s="69"/>
      <c r="E126" s="69"/>
      <c r="F126" s="69"/>
      <c r="G126" s="69"/>
      <c r="H126" s="69"/>
      <c r="I126" s="69"/>
      <c r="J126" s="54"/>
      <c r="K126" s="41"/>
    </row>
    <row r="127" spans="1:11" s="38" customFormat="1" ht="12" x14ac:dyDescent="0.2">
      <c r="A127" s="41"/>
      <c r="B127" s="61" t="s">
        <v>11</v>
      </c>
      <c r="C127" s="69">
        <f t="shared" si="42"/>
        <v>2200</v>
      </c>
      <c r="D127" s="69">
        <f>500-300</f>
        <v>200</v>
      </c>
      <c r="E127" s="69"/>
      <c r="F127" s="69"/>
      <c r="G127" s="69">
        <v>2000</v>
      </c>
      <c r="H127" s="69"/>
      <c r="I127" s="69"/>
      <c r="J127" s="54"/>
      <c r="K127" s="41"/>
    </row>
    <row r="128" spans="1:11" s="38" customFormat="1" ht="12" x14ac:dyDescent="0.2">
      <c r="A128" s="41"/>
      <c r="B128" s="61" t="s">
        <v>12</v>
      </c>
      <c r="C128" s="69">
        <f t="shared" si="42"/>
        <v>0</v>
      </c>
      <c r="D128" s="69"/>
      <c r="E128" s="69"/>
      <c r="F128" s="69"/>
      <c r="G128" s="69"/>
      <c r="H128" s="69"/>
      <c r="I128" s="69"/>
      <c r="J128" s="54"/>
      <c r="K128" s="41"/>
    </row>
    <row r="129" spans="1:11" s="38" customFormat="1" ht="108" x14ac:dyDescent="0.2">
      <c r="A129" s="41"/>
      <c r="B129" s="61" t="s">
        <v>31</v>
      </c>
      <c r="C129" s="69">
        <f t="shared" si="42"/>
        <v>3500</v>
      </c>
      <c r="D129" s="69">
        <f t="shared" ref="D129:I129" si="52">SUM(D130:D132)</f>
        <v>0</v>
      </c>
      <c r="E129" s="69">
        <f t="shared" si="52"/>
        <v>0</v>
      </c>
      <c r="F129" s="69">
        <f t="shared" si="52"/>
        <v>0</v>
      </c>
      <c r="G129" s="69">
        <f t="shared" si="52"/>
        <v>0</v>
      </c>
      <c r="H129" s="69">
        <f t="shared" si="52"/>
        <v>2000</v>
      </c>
      <c r="I129" s="69">
        <f t="shared" si="52"/>
        <v>1500</v>
      </c>
      <c r="J129" s="54"/>
      <c r="K129" s="41"/>
    </row>
    <row r="130" spans="1:11" s="38" customFormat="1" ht="12" x14ac:dyDescent="0.2">
      <c r="A130" s="41"/>
      <c r="B130" s="61" t="s">
        <v>10</v>
      </c>
      <c r="C130" s="69">
        <f t="shared" si="42"/>
        <v>0</v>
      </c>
      <c r="D130" s="69"/>
      <c r="E130" s="69"/>
      <c r="F130" s="69"/>
      <c r="G130" s="69"/>
      <c r="H130" s="69"/>
      <c r="I130" s="69"/>
      <c r="J130" s="54" t="s">
        <v>162</v>
      </c>
      <c r="K130" s="41"/>
    </row>
    <row r="131" spans="1:11" s="38" customFormat="1" ht="12" x14ac:dyDescent="0.2">
      <c r="A131" s="41"/>
      <c r="B131" s="61" t="s">
        <v>11</v>
      </c>
      <c r="C131" s="69">
        <f t="shared" si="42"/>
        <v>3500</v>
      </c>
      <c r="D131" s="69"/>
      <c r="E131" s="69"/>
      <c r="F131" s="69"/>
      <c r="G131" s="69"/>
      <c r="H131" s="69">
        <v>2000</v>
      </c>
      <c r="I131" s="69">
        <v>1500</v>
      </c>
      <c r="J131" s="54"/>
      <c r="K131" s="41"/>
    </row>
    <row r="132" spans="1:11" s="38" customFormat="1" ht="12" x14ac:dyDescent="0.2">
      <c r="A132" s="41"/>
      <c r="B132" s="61" t="s">
        <v>12</v>
      </c>
      <c r="C132" s="69">
        <f t="shared" si="42"/>
        <v>0</v>
      </c>
      <c r="D132" s="69"/>
      <c r="E132" s="69"/>
      <c r="F132" s="69"/>
      <c r="G132" s="69"/>
      <c r="H132" s="69"/>
      <c r="I132" s="69"/>
      <c r="J132" s="54"/>
      <c r="K132" s="41"/>
    </row>
    <row r="133" spans="1:11" s="38" customFormat="1" ht="96" x14ac:dyDescent="0.2">
      <c r="A133" s="41"/>
      <c r="B133" s="61" t="s">
        <v>32</v>
      </c>
      <c r="C133" s="69">
        <f t="shared" si="42"/>
        <v>4000</v>
      </c>
      <c r="D133" s="69">
        <f t="shared" ref="D133:I133" si="53">SUM(D134:D136)</f>
        <v>0</v>
      </c>
      <c r="E133" s="69">
        <f t="shared" si="53"/>
        <v>0</v>
      </c>
      <c r="F133" s="69">
        <v>4000</v>
      </c>
      <c r="G133" s="69">
        <f t="shared" si="53"/>
        <v>0</v>
      </c>
      <c r="H133" s="69">
        <f t="shared" si="53"/>
        <v>0</v>
      </c>
      <c r="I133" s="69">
        <f t="shared" si="53"/>
        <v>0</v>
      </c>
      <c r="J133" s="54"/>
      <c r="K133" s="41"/>
    </row>
    <row r="134" spans="1:11" s="38" customFormat="1" ht="12" x14ac:dyDescent="0.2">
      <c r="A134" s="41"/>
      <c r="B134" s="61" t="s">
        <v>10</v>
      </c>
      <c r="C134" s="69">
        <f t="shared" si="42"/>
        <v>0</v>
      </c>
      <c r="D134" s="69"/>
      <c r="E134" s="69"/>
      <c r="F134" s="69"/>
      <c r="G134" s="69"/>
      <c r="H134" s="69"/>
      <c r="I134" s="69"/>
      <c r="J134" s="54"/>
      <c r="K134" s="41"/>
    </row>
    <row r="135" spans="1:11" s="38" customFormat="1" ht="12" x14ac:dyDescent="0.2">
      <c r="A135" s="41"/>
      <c r="B135" s="61" t="s">
        <v>11</v>
      </c>
      <c r="C135" s="69">
        <f t="shared" si="42"/>
        <v>0</v>
      </c>
      <c r="D135" s="69"/>
      <c r="E135" s="69"/>
      <c r="F135" s="69"/>
      <c r="G135" s="69"/>
      <c r="H135" s="69"/>
      <c r="I135" s="69"/>
      <c r="J135" s="54" t="s">
        <v>154</v>
      </c>
      <c r="K135" s="41"/>
    </row>
    <row r="136" spans="1:11" s="38" customFormat="1" ht="12" x14ac:dyDescent="0.2">
      <c r="A136" s="41"/>
      <c r="B136" s="61" t="s">
        <v>12</v>
      </c>
      <c r="C136" s="69">
        <f t="shared" si="42"/>
        <v>0</v>
      </c>
      <c r="D136" s="69"/>
      <c r="E136" s="69"/>
      <c r="F136" s="69"/>
      <c r="G136" s="69"/>
      <c r="H136" s="69"/>
      <c r="I136" s="69"/>
      <c r="J136" s="54"/>
      <c r="K136" s="41"/>
    </row>
    <row r="137" spans="1:11" s="38" customFormat="1" ht="84" x14ac:dyDescent="0.2">
      <c r="A137" s="41"/>
      <c r="B137" s="61" t="s">
        <v>33</v>
      </c>
      <c r="C137" s="69">
        <f t="shared" si="42"/>
        <v>6000</v>
      </c>
      <c r="D137" s="69">
        <f t="shared" ref="D137:I137" si="54">SUM(D138:D140)</f>
        <v>0</v>
      </c>
      <c r="E137" s="69">
        <f t="shared" si="54"/>
        <v>0</v>
      </c>
      <c r="F137" s="69">
        <f t="shared" si="54"/>
        <v>0</v>
      </c>
      <c r="G137" s="69">
        <f t="shared" si="54"/>
        <v>0</v>
      </c>
      <c r="H137" s="69">
        <f t="shared" si="54"/>
        <v>2000</v>
      </c>
      <c r="I137" s="69">
        <f t="shared" si="54"/>
        <v>4000</v>
      </c>
      <c r="J137" s="54"/>
      <c r="K137" s="41"/>
    </row>
    <row r="138" spans="1:11" s="38" customFormat="1" ht="12" x14ac:dyDescent="0.2">
      <c r="A138" s="41"/>
      <c r="B138" s="61" t="s">
        <v>10</v>
      </c>
      <c r="C138" s="69">
        <f t="shared" si="42"/>
        <v>0</v>
      </c>
      <c r="D138" s="69"/>
      <c r="E138" s="69"/>
      <c r="F138" s="69"/>
      <c r="G138" s="69"/>
      <c r="H138" s="69"/>
      <c r="I138" s="69"/>
      <c r="J138" s="54"/>
      <c r="K138" s="41"/>
    </row>
    <row r="139" spans="1:11" s="38" customFormat="1" ht="12" x14ac:dyDescent="0.2">
      <c r="A139" s="41"/>
      <c r="B139" s="61" t="s">
        <v>11</v>
      </c>
      <c r="C139" s="69">
        <f t="shared" si="42"/>
        <v>6000</v>
      </c>
      <c r="D139" s="69"/>
      <c r="E139" s="69"/>
      <c r="F139" s="69"/>
      <c r="G139" s="69"/>
      <c r="H139" s="69">
        <v>2000</v>
      </c>
      <c r="I139" s="69">
        <v>4000</v>
      </c>
      <c r="J139" s="54"/>
      <c r="K139" s="41"/>
    </row>
    <row r="140" spans="1:11" s="38" customFormat="1" ht="24" x14ac:dyDescent="0.2">
      <c r="A140" s="41"/>
      <c r="B140" s="61" t="s">
        <v>12</v>
      </c>
      <c r="C140" s="69">
        <f t="shared" si="42"/>
        <v>0</v>
      </c>
      <c r="D140" s="69"/>
      <c r="E140" s="69"/>
      <c r="F140" s="69"/>
      <c r="G140" s="69"/>
      <c r="H140" s="69"/>
      <c r="I140" s="69"/>
      <c r="J140" s="54" t="s">
        <v>163</v>
      </c>
      <c r="K140" s="41"/>
    </row>
    <row r="141" spans="1:11" s="38" customFormat="1" ht="108" x14ac:dyDescent="0.2">
      <c r="A141" s="41"/>
      <c r="B141" s="61" t="s">
        <v>84</v>
      </c>
      <c r="C141" s="78">
        <f t="shared" ref="C141:C144" si="55">SUM(D141:I141)</f>
        <v>5500</v>
      </c>
      <c r="D141" s="78">
        <f t="shared" ref="D141:I141" si="56">SUM(D143:D145)</f>
        <v>1000</v>
      </c>
      <c r="E141" s="78">
        <f t="shared" si="56"/>
        <v>500</v>
      </c>
      <c r="F141" s="78">
        <f t="shared" si="56"/>
        <v>0</v>
      </c>
      <c r="G141" s="78">
        <f t="shared" si="56"/>
        <v>2000</v>
      </c>
      <c r="H141" s="78">
        <f t="shared" si="56"/>
        <v>2000</v>
      </c>
      <c r="I141" s="78">
        <f t="shared" si="56"/>
        <v>0</v>
      </c>
      <c r="J141" s="54"/>
      <c r="K141" s="41"/>
    </row>
    <row r="142" spans="1:11" s="38" customFormat="1" ht="12" x14ac:dyDescent="0.2">
      <c r="A142" s="41"/>
      <c r="B142" s="61" t="s">
        <v>59</v>
      </c>
      <c r="C142" s="69">
        <f t="shared" si="55"/>
        <v>0</v>
      </c>
      <c r="D142" s="69">
        <v>0</v>
      </c>
      <c r="E142" s="69">
        <v>0</v>
      </c>
      <c r="F142" s="69">
        <v>0</v>
      </c>
      <c r="G142" s="69">
        <v>0</v>
      </c>
      <c r="H142" s="69">
        <v>0</v>
      </c>
      <c r="I142" s="69">
        <v>0</v>
      </c>
      <c r="J142" s="54"/>
      <c r="K142" s="41"/>
    </row>
    <row r="143" spans="1:11" s="38" customFormat="1" ht="12" x14ac:dyDescent="0.2">
      <c r="A143" s="41"/>
      <c r="B143" s="61" t="s">
        <v>10</v>
      </c>
      <c r="C143" s="69">
        <f t="shared" si="55"/>
        <v>0</v>
      </c>
      <c r="D143" s="69"/>
      <c r="E143" s="69"/>
      <c r="F143" s="69"/>
      <c r="G143" s="69"/>
      <c r="H143" s="69"/>
      <c r="I143" s="69"/>
      <c r="J143" s="54"/>
      <c r="K143" s="41"/>
    </row>
    <row r="144" spans="1:11" s="38" customFormat="1" ht="12" x14ac:dyDescent="0.2">
      <c r="A144" s="41"/>
      <c r="B144" s="61" t="s">
        <v>11</v>
      </c>
      <c r="C144" s="69">
        <f t="shared" si="55"/>
        <v>5500</v>
      </c>
      <c r="D144" s="69">
        <f>1500-500</f>
        <v>1000</v>
      </c>
      <c r="E144" s="69">
        <v>500</v>
      </c>
      <c r="F144" s="69"/>
      <c r="G144" s="69">
        <v>2000</v>
      </c>
      <c r="H144" s="69">
        <v>2000</v>
      </c>
      <c r="I144" s="69"/>
      <c r="J144" s="54"/>
      <c r="K144" s="41"/>
    </row>
    <row r="145" spans="1:11" s="38" customFormat="1" ht="12" x14ac:dyDescent="0.2">
      <c r="A145" s="41"/>
      <c r="B145" s="61" t="s">
        <v>12</v>
      </c>
      <c r="C145" s="69"/>
      <c r="D145" s="69"/>
      <c r="E145" s="69"/>
      <c r="F145" s="69"/>
      <c r="G145" s="69"/>
      <c r="H145" s="69"/>
      <c r="I145" s="69"/>
      <c r="J145" s="54" t="s">
        <v>154</v>
      </c>
      <c r="K145" s="41"/>
    </row>
    <row r="146" spans="1:11" s="38" customFormat="1" ht="72" x14ac:dyDescent="0.2">
      <c r="A146" s="41">
        <v>96</v>
      </c>
      <c r="B146" s="65" t="s">
        <v>117</v>
      </c>
      <c r="C146" s="73">
        <f t="shared" ref="C146:C148" si="57">SUM(D146:I146)</f>
        <v>4107488.38</v>
      </c>
      <c r="D146" s="73">
        <f>SUM(D147:D150)</f>
        <v>3528646.19</v>
      </c>
      <c r="E146" s="73">
        <f t="shared" ref="E146:I146" si="58">SUM(E147:E150)</f>
        <v>103.19</v>
      </c>
      <c r="F146" s="73">
        <f t="shared" si="58"/>
        <v>578739</v>
      </c>
      <c r="G146" s="73">
        <f t="shared" si="58"/>
        <v>0</v>
      </c>
      <c r="H146" s="73">
        <f t="shared" si="58"/>
        <v>0</v>
      </c>
      <c r="I146" s="73">
        <f t="shared" si="58"/>
        <v>0</v>
      </c>
      <c r="J146" s="54" t="s">
        <v>164</v>
      </c>
      <c r="K146" s="41" t="s">
        <v>165</v>
      </c>
    </row>
    <row r="147" spans="1:11" s="38" customFormat="1" ht="12" x14ac:dyDescent="0.2">
      <c r="A147" s="41">
        <v>97</v>
      </c>
      <c r="B147" s="61" t="s">
        <v>59</v>
      </c>
      <c r="C147" s="69">
        <f t="shared" si="57"/>
        <v>0</v>
      </c>
      <c r="D147" s="69">
        <v>0</v>
      </c>
      <c r="E147" s="69">
        <v>0</v>
      </c>
      <c r="F147" s="69">
        <v>0</v>
      </c>
      <c r="G147" s="69">
        <v>0</v>
      </c>
      <c r="H147" s="69">
        <v>0</v>
      </c>
      <c r="I147" s="69">
        <v>0</v>
      </c>
      <c r="J147" s="74"/>
      <c r="K147" s="41"/>
    </row>
    <row r="148" spans="1:11" s="38" customFormat="1" ht="12" x14ac:dyDescent="0.2">
      <c r="A148" s="41">
        <v>98</v>
      </c>
      <c r="B148" s="61" t="s">
        <v>10</v>
      </c>
      <c r="C148" s="69">
        <f t="shared" si="57"/>
        <v>0</v>
      </c>
      <c r="D148" s="69">
        <v>0</v>
      </c>
      <c r="E148" s="69">
        <v>0</v>
      </c>
      <c r="F148" s="69">
        <v>0</v>
      </c>
      <c r="G148" s="69">
        <v>0</v>
      </c>
      <c r="H148" s="69">
        <v>0</v>
      </c>
      <c r="I148" s="69">
        <v>0</v>
      </c>
      <c r="J148" s="54"/>
      <c r="K148" s="41"/>
    </row>
    <row r="149" spans="1:11" s="38" customFormat="1" ht="12" x14ac:dyDescent="0.2">
      <c r="A149" s="41">
        <v>99</v>
      </c>
      <c r="B149" s="61" t="s">
        <v>11</v>
      </c>
      <c r="C149" s="69">
        <f>SUM(D149:I149)</f>
        <v>4107488.38</v>
      </c>
      <c r="D149" s="69">
        <v>3528646.19</v>
      </c>
      <c r="E149" s="69">
        <v>103.19</v>
      </c>
      <c r="F149" s="69">
        <f>578739</f>
        <v>578739</v>
      </c>
      <c r="G149" s="69">
        <v>0</v>
      </c>
      <c r="H149" s="69">
        <v>0</v>
      </c>
      <c r="I149" s="69">
        <v>0</v>
      </c>
      <c r="J149" s="54"/>
      <c r="K149" s="41"/>
    </row>
    <row r="150" spans="1:11" s="38" customFormat="1" ht="12" x14ac:dyDescent="0.2">
      <c r="A150" s="41">
        <v>100</v>
      </c>
      <c r="B150" s="61" t="s">
        <v>12</v>
      </c>
      <c r="C150" s="69">
        <f t="shared" ref="C150:C188" si="59">SUM(D150:I150)</f>
        <v>0</v>
      </c>
      <c r="D150" s="69"/>
      <c r="E150" s="69"/>
      <c r="F150" s="69"/>
      <c r="G150" s="69"/>
      <c r="H150" s="69"/>
      <c r="I150" s="69"/>
      <c r="K150" s="41"/>
    </row>
    <row r="151" spans="1:11" s="38" customFormat="1" ht="156" x14ac:dyDescent="0.2">
      <c r="A151" s="41">
        <v>101</v>
      </c>
      <c r="B151" s="65" t="s">
        <v>85</v>
      </c>
      <c r="C151" s="73">
        <f t="shared" si="59"/>
        <v>611940.65</v>
      </c>
      <c r="D151" s="73">
        <f>SUM(D152:D155)</f>
        <v>181700</v>
      </c>
      <c r="E151" s="73">
        <f t="shared" ref="E151:I151" si="60">SUM(E152:E155)</f>
        <v>50000</v>
      </c>
      <c r="F151" s="73">
        <f t="shared" si="60"/>
        <v>80240.649999999994</v>
      </c>
      <c r="G151" s="73">
        <f t="shared" si="60"/>
        <v>200000</v>
      </c>
      <c r="H151" s="73">
        <f t="shared" si="60"/>
        <v>50000</v>
      </c>
      <c r="I151" s="73">
        <f t="shared" si="60"/>
        <v>50000</v>
      </c>
      <c r="J151" s="54" t="s">
        <v>159</v>
      </c>
      <c r="K151" s="41" t="s">
        <v>149</v>
      </c>
    </row>
    <row r="152" spans="1:11" s="38" customFormat="1" ht="12" x14ac:dyDescent="0.2">
      <c r="A152" s="41">
        <v>102</v>
      </c>
      <c r="B152" s="61" t="s">
        <v>59</v>
      </c>
      <c r="C152" s="69">
        <f t="shared" si="59"/>
        <v>14600</v>
      </c>
      <c r="D152" s="69">
        <v>14600</v>
      </c>
      <c r="E152" s="69">
        <v>0</v>
      </c>
      <c r="F152" s="69">
        <v>0</v>
      </c>
      <c r="G152" s="69">
        <v>0</v>
      </c>
      <c r="H152" s="69">
        <v>0</v>
      </c>
      <c r="I152" s="69">
        <v>0</v>
      </c>
      <c r="J152" s="54"/>
      <c r="K152" s="41"/>
    </row>
    <row r="153" spans="1:11" s="38" customFormat="1" ht="12" x14ac:dyDescent="0.2">
      <c r="A153" s="41">
        <v>103</v>
      </c>
      <c r="B153" s="61" t="s">
        <v>10</v>
      </c>
      <c r="C153" s="69">
        <f t="shared" si="59"/>
        <v>0</v>
      </c>
      <c r="D153" s="69">
        <v>0</v>
      </c>
      <c r="E153" s="69">
        <v>0</v>
      </c>
      <c r="F153" s="69">
        <v>0</v>
      </c>
      <c r="G153" s="69">
        <v>0</v>
      </c>
      <c r="H153" s="69">
        <v>0</v>
      </c>
      <c r="I153" s="69">
        <v>0</v>
      </c>
      <c r="J153" s="54"/>
      <c r="K153" s="41"/>
    </row>
    <row r="154" spans="1:11" s="38" customFormat="1" ht="12" x14ac:dyDescent="0.2">
      <c r="A154" s="41">
        <v>104</v>
      </c>
      <c r="B154" s="61" t="s">
        <v>11</v>
      </c>
      <c r="C154" s="69">
        <f t="shared" si="59"/>
        <v>597340.65</v>
      </c>
      <c r="D154" s="69">
        <f>400000-100000-D159</f>
        <v>167100</v>
      </c>
      <c r="E154" s="69">
        <f>150000-100000</f>
        <v>50000</v>
      </c>
      <c r="F154" s="69">
        <f>150000+50000-89756.3-30003.05</f>
        <v>80240.649999999994</v>
      </c>
      <c r="G154" s="69">
        <f>1000000-950000+150000</f>
        <v>200000</v>
      </c>
      <c r="H154" s="69">
        <f>1000000-950000</f>
        <v>50000</v>
      </c>
      <c r="I154" s="69">
        <f>1000000-950000</f>
        <v>50000</v>
      </c>
      <c r="J154" s="54"/>
      <c r="K154" s="41"/>
    </row>
    <row r="155" spans="1:11" s="38" customFormat="1" ht="12" x14ac:dyDescent="0.2">
      <c r="A155" s="41">
        <v>105</v>
      </c>
      <c r="B155" s="61" t="s">
        <v>12</v>
      </c>
      <c r="C155" s="69">
        <f t="shared" si="59"/>
        <v>0</v>
      </c>
      <c r="D155" s="69">
        <v>0</v>
      </c>
      <c r="E155" s="69">
        <v>0</v>
      </c>
      <c r="F155" s="69">
        <v>0</v>
      </c>
      <c r="G155" s="69">
        <v>0</v>
      </c>
      <c r="H155" s="69">
        <v>0</v>
      </c>
      <c r="I155" s="69">
        <v>0</v>
      </c>
      <c r="J155" s="54"/>
      <c r="K155" s="41"/>
    </row>
    <row r="156" spans="1:11" s="38" customFormat="1" ht="60" x14ac:dyDescent="0.2">
      <c r="A156" s="41">
        <v>106</v>
      </c>
      <c r="B156" s="65" t="s">
        <v>110</v>
      </c>
      <c r="C156" s="73">
        <f>SUM(D156:I156)</f>
        <v>443000</v>
      </c>
      <c r="D156" s="73">
        <f>SUM(D157:D160)</f>
        <v>443000</v>
      </c>
      <c r="E156" s="73">
        <f t="shared" ref="E156:I156" si="61">SUM(E157:E160)</f>
        <v>0</v>
      </c>
      <c r="F156" s="73">
        <f t="shared" si="61"/>
        <v>0</v>
      </c>
      <c r="G156" s="73">
        <f t="shared" si="61"/>
        <v>0</v>
      </c>
      <c r="H156" s="73">
        <f t="shared" si="61"/>
        <v>0</v>
      </c>
      <c r="I156" s="73">
        <f t="shared" si="61"/>
        <v>0</v>
      </c>
      <c r="J156" s="54" t="s">
        <v>160</v>
      </c>
      <c r="K156" s="41" t="s">
        <v>149</v>
      </c>
    </row>
    <row r="157" spans="1:11" s="38" customFormat="1" ht="12" x14ac:dyDescent="0.2">
      <c r="A157" s="41">
        <v>107</v>
      </c>
      <c r="B157" s="61" t="s">
        <v>59</v>
      </c>
      <c r="C157" s="69">
        <f t="shared" ref="C157:C160" si="62">SUM(D157:I157)</f>
        <v>0</v>
      </c>
      <c r="D157" s="69">
        <v>0</v>
      </c>
      <c r="E157" s="69">
        <v>0</v>
      </c>
      <c r="F157" s="69">
        <v>0</v>
      </c>
      <c r="G157" s="69">
        <v>0</v>
      </c>
      <c r="H157" s="69">
        <v>0</v>
      </c>
      <c r="I157" s="69">
        <v>0</v>
      </c>
      <c r="J157" s="54"/>
      <c r="K157" s="41"/>
    </row>
    <row r="158" spans="1:11" s="38" customFormat="1" ht="12" x14ac:dyDescent="0.2">
      <c r="A158" s="41">
        <v>108</v>
      </c>
      <c r="B158" s="61" t="s">
        <v>10</v>
      </c>
      <c r="C158" s="69">
        <f t="shared" si="62"/>
        <v>310100</v>
      </c>
      <c r="D158" s="69">
        <v>310100</v>
      </c>
      <c r="E158" s="69">
        <v>0</v>
      </c>
      <c r="F158" s="69">
        <v>0</v>
      </c>
      <c r="G158" s="69">
        <v>0</v>
      </c>
      <c r="H158" s="69">
        <v>0</v>
      </c>
      <c r="I158" s="69">
        <v>0</v>
      </c>
      <c r="J158" s="54"/>
      <c r="K158" s="41"/>
    </row>
    <row r="159" spans="1:11" s="38" customFormat="1" ht="12" x14ac:dyDescent="0.2">
      <c r="A159" s="41">
        <v>109</v>
      </c>
      <c r="B159" s="61" t="s">
        <v>11</v>
      </c>
      <c r="C159" s="69">
        <f>SUM(D159:I159)</f>
        <v>132900</v>
      </c>
      <c r="D159" s="69">
        <v>132900</v>
      </c>
      <c r="E159" s="69">
        <v>0</v>
      </c>
      <c r="F159" s="69">
        <v>0</v>
      </c>
      <c r="G159" s="69">
        <v>0</v>
      </c>
      <c r="H159" s="69">
        <v>0</v>
      </c>
      <c r="I159" s="69">
        <v>0</v>
      </c>
      <c r="J159" s="54"/>
      <c r="K159" s="41"/>
    </row>
    <row r="160" spans="1:11" s="38" customFormat="1" ht="12" x14ac:dyDescent="0.2">
      <c r="A160" s="41">
        <v>110</v>
      </c>
      <c r="B160" s="61" t="s">
        <v>12</v>
      </c>
      <c r="C160" s="69">
        <f t="shared" si="62"/>
        <v>0</v>
      </c>
      <c r="D160" s="69"/>
      <c r="E160" s="69"/>
      <c r="F160" s="69"/>
      <c r="G160" s="69"/>
      <c r="H160" s="69"/>
      <c r="I160" s="69"/>
      <c r="J160" s="54"/>
      <c r="K160" s="41"/>
    </row>
    <row r="161" spans="1:11" s="38" customFormat="1" ht="60" x14ac:dyDescent="0.2">
      <c r="A161" s="41">
        <v>111</v>
      </c>
      <c r="B161" s="65" t="s">
        <v>106</v>
      </c>
      <c r="C161" s="73">
        <f t="shared" si="59"/>
        <v>30810222.800000001</v>
      </c>
      <c r="D161" s="73">
        <f>SUM(D162:D165)</f>
        <v>4969370.8099999996</v>
      </c>
      <c r="E161" s="73">
        <f t="shared" ref="E161:I161" si="63">SUM(E162:E165)</f>
        <v>4988404.95</v>
      </c>
      <c r="F161" s="73">
        <f t="shared" si="63"/>
        <v>5475040.04</v>
      </c>
      <c r="G161" s="73">
        <f t="shared" si="63"/>
        <v>5092717</v>
      </c>
      <c r="H161" s="73">
        <f t="shared" si="63"/>
        <v>5092717</v>
      </c>
      <c r="I161" s="73">
        <f t="shared" si="63"/>
        <v>5191973</v>
      </c>
      <c r="J161" s="54" t="s">
        <v>161</v>
      </c>
      <c r="K161" s="41" t="s">
        <v>149</v>
      </c>
    </row>
    <row r="162" spans="1:11" s="38" customFormat="1" ht="12" x14ac:dyDescent="0.2">
      <c r="A162" s="41">
        <v>112</v>
      </c>
      <c r="B162" s="61" t="s">
        <v>59</v>
      </c>
      <c r="C162" s="69">
        <f t="shared" si="59"/>
        <v>0</v>
      </c>
      <c r="D162" s="69">
        <v>0</v>
      </c>
      <c r="E162" s="69">
        <v>0</v>
      </c>
      <c r="F162" s="69">
        <v>0</v>
      </c>
      <c r="G162" s="69">
        <v>0</v>
      </c>
      <c r="H162" s="69">
        <v>0</v>
      </c>
      <c r="I162" s="69">
        <v>0</v>
      </c>
      <c r="J162" s="54"/>
      <c r="K162" s="41"/>
    </row>
    <row r="163" spans="1:11" s="38" customFormat="1" ht="12" x14ac:dyDescent="0.2">
      <c r="A163" s="41">
        <v>113</v>
      </c>
      <c r="B163" s="61" t="s">
        <v>10</v>
      </c>
      <c r="C163" s="69">
        <f t="shared" si="59"/>
        <v>0</v>
      </c>
      <c r="D163" s="69">
        <v>0</v>
      </c>
      <c r="E163" s="69">
        <v>0</v>
      </c>
      <c r="F163" s="69">
        <v>0</v>
      </c>
      <c r="G163" s="69">
        <v>0</v>
      </c>
      <c r="H163" s="69">
        <v>0</v>
      </c>
      <c r="I163" s="69">
        <v>0</v>
      </c>
      <c r="J163" s="54"/>
      <c r="K163" s="41"/>
    </row>
    <row r="164" spans="1:11" s="38" customFormat="1" ht="12" x14ac:dyDescent="0.2">
      <c r="A164" s="41">
        <v>114</v>
      </c>
      <c r="B164" s="61" t="s">
        <v>11</v>
      </c>
      <c r="C164" s="69">
        <f t="shared" si="59"/>
        <v>30013362.800000001</v>
      </c>
      <c r="D164" s="69">
        <f>4161903+D169+500000</f>
        <v>4844370.8099999996</v>
      </c>
      <c r="E164" s="69">
        <f>4236377-5237+456028+12000+E169</f>
        <v>4836004.95</v>
      </c>
      <c r="F164" s="69">
        <f>4236378+781468+83511.96+243982.08</f>
        <v>5345340.04</v>
      </c>
      <c r="G164" s="69">
        <f>5842339-1070260-2319997+410883.86+2099831.14</f>
        <v>4962797</v>
      </c>
      <c r="H164" s="77">
        <f>5842339-1070260-2967327+3158045</f>
        <v>4962797</v>
      </c>
      <c r="I164" s="69">
        <f>5842339-780286</f>
        <v>5062053</v>
      </c>
      <c r="J164" s="54"/>
      <c r="K164" s="41"/>
    </row>
    <row r="165" spans="1:11" s="38" customFormat="1" ht="12" x14ac:dyDescent="0.2">
      <c r="A165" s="41">
        <v>115</v>
      </c>
      <c r="B165" s="61" t="s">
        <v>12</v>
      </c>
      <c r="C165" s="69">
        <f t="shared" si="59"/>
        <v>796860</v>
      </c>
      <c r="D165" s="69">
        <f>125000</f>
        <v>125000</v>
      </c>
      <c r="E165" s="69">
        <f>140000-40000+45200+7200</f>
        <v>152400</v>
      </c>
      <c r="F165" s="69">
        <f>160000-30300</f>
        <v>129700</v>
      </c>
      <c r="G165" s="69">
        <f>160000-30300+220</f>
        <v>129920</v>
      </c>
      <c r="H165" s="69">
        <f>160000-30300+220</f>
        <v>129920</v>
      </c>
      <c r="I165" s="69">
        <f>160000-30080</f>
        <v>129920</v>
      </c>
      <c r="J165" s="54"/>
      <c r="K165" s="41"/>
    </row>
    <row r="166" spans="1:11" s="38" customFormat="1" ht="72" x14ac:dyDescent="0.2">
      <c r="A166" s="41">
        <v>116</v>
      </c>
      <c r="B166" s="65" t="s">
        <v>118</v>
      </c>
      <c r="C166" s="73">
        <f t="shared" si="59"/>
        <v>1473731.1</v>
      </c>
      <c r="D166" s="73">
        <f>SUM(D167:D170)</f>
        <v>182467.81</v>
      </c>
      <c r="E166" s="73">
        <f t="shared" ref="E166:I166" si="64">SUM(E167:E170)</f>
        <v>136836.95000000001</v>
      </c>
      <c r="F166" s="73">
        <f t="shared" si="64"/>
        <v>327494.03999999998</v>
      </c>
      <c r="G166" s="73">
        <f t="shared" si="64"/>
        <v>826932.3</v>
      </c>
      <c r="H166" s="73">
        <f t="shared" si="64"/>
        <v>0</v>
      </c>
      <c r="I166" s="73">
        <f t="shared" si="64"/>
        <v>0</v>
      </c>
      <c r="J166" s="54" t="s">
        <v>154</v>
      </c>
      <c r="K166" s="41"/>
    </row>
    <row r="167" spans="1:11" s="38" customFormat="1" ht="12" x14ac:dyDescent="0.2">
      <c r="A167" s="41">
        <v>117</v>
      </c>
      <c r="B167" s="61" t="s">
        <v>59</v>
      </c>
      <c r="C167" s="69">
        <f t="shared" si="59"/>
        <v>0</v>
      </c>
      <c r="D167" s="69">
        <v>0</v>
      </c>
      <c r="E167" s="69">
        <v>0</v>
      </c>
      <c r="F167" s="69">
        <v>0</v>
      </c>
      <c r="G167" s="69">
        <v>0</v>
      </c>
      <c r="H167" s="69">
        <v>0</v>
      </c>
      <c r="I167" s="69">
        <v>0</v>
      </c>
      <c r="J167" s="54"/>
      <c r="K167" s="41"/>
    </row>
    <row r="168" spans="1:11" s="38" customFormat="1" ht="12" x14ac:dyDescent="0.2">
      <c r="A168" s="41">
        <v>118</v>
      </c>
      <c r="B168" s="61" t="s">
        <v>10</v>
      </c>
      <c r="C168" s="69">
        <f t="shared" si="59"/>
        <v>0</v>
      </c>
      <c r="D168" s="69">
        <v>0</v>
      </c>
      <c r="E168" s="69">
        <v>0</v>
      </c>
      <c r="F168" s="69">
        <v>0</v>
      </c>
      <c r="G168" s="69">
        <v>0</v>
      </c>
      <c r="H168" s="69">
        <v>0</v>
      </c>
      <c r="I168" s="69">
        <v>0</v>
      </c>
      <c r="J168" s="54"/>
      <c r="K168" s="41"/>
    </row>
    <row r="169" spans="1:11" s="38" customFormat="1" ht="12" x14ac:dyDescent="0.2">
      <c r="A169" s="41">
        <v>119</v>
      </c>
      <c r="B169" s="61" t="s">
        <v>11</v>
      </c>
      <c r="C169" s="69">
        <f>SUM(D169:I169)</f>
        <v>1473731.1</v>
      </c>
      <c r="D169" s="69">
        <v>182467.81</v>
      </c>
      <c r="E169" s="69">
        <v>136836.95000000001</v>
      </c>
      <c r="F169" s="69">
        <f>83511.96+243982.08</f>
        <v>327494.03999999998</v>
      </c>
      <c r="G169" s="69">
        <v>826932.3</v>
      </c>
      <c r="H169" s="69">
        <v>0</v>
      </c>
      <c r="I169" s="69">
        <v>0</v>
      </c>
      <c r="J169" s="54"/>
      <c r="K169" s="41"/>
    </row>
    <row r="170" spans="1:11" s="38" customFormat="1" ht="12" x14ac:dyDescent="0.2">
      <c r="A170" s="41">
        <v>120</v>
      </c>
      <c r="B170" s="61" t="s">
        <v>12</v>
      </c>
      <c r="C170" s="69">
        <f t="shared" ref="C170" si="65">SUM(D170:I170)</f>
        <v>0</v>
      </c>
      <c r="D170" s="69">
        <v>0</v>
      </c>
      <c r="E170" s="69">
        <v>0</v>
      </c>
      <c r="F170" s="69">
        <v>0</v>
      </c>
      <c r="G170" s="69">
        <v>0</v>
      </c>
      <c r="H170" s="69">
        <v>0</v>
      </c>
      <c r="I170" s="69">
        <v>0</v>
      </c>
      <c r="J170" s="54"/>
      <c r="K170" s="41"/>
    </row>
    <row r="171" spans="1:11" s="38" customFormat="1" ht="72" x14ac:dyDescent="0.2">
      <c r="A171" s="41">
        <v>121</v>
      </c>
      <c r="B171" s="65" t="s">
        <v>107</v>
      </c>
      <c r="C171" s="73">
        <f t="shared" si="59"/>
        <v>123416011.41</v>
      </c>
      <c r="D171" s="73">
        <f>SUM(D172:D175)</f>
        <v>21978694.579999998</v>
      </c>
      <c r="E171" s="73">
        <f t="shared" ref="E171:I171" si="66">SUM(E172:E175)</f>
        <v>19796879.359999999</v>
      </c>
      <c r="F171" s="73">
        <f t="shared" si="66"/>
        <v>21508447.02</v>
      </c>
      <c r="G171" s="73">
        <f t="shared" si="66"/>
        <v>19961181.449999999</v>
      </c>
      <c r="H171" s="73">
        <f t="shared" si="66"/>
        <v>19887054</v>
      </c>
      <c r="I171" s="73">
        <f t="shared" si="66"/>
        <v>20283755</v>
      </c>
      <c r="J171" s="54" t="s">
        <v>166</v>
      </c>
      <c r="K171" s="41" t="s">
        <v>149</v>
      </c>
    </row>
    <row r="172" spans="1:11" s="38" customFormat="1" ht="12" x14ac:dyDescent="0.2">
      <c r="A172" s="41">
        <v>122</v>
      </c>
      <c r="B172" s="61" t="s">
        <v>59</v>
      </c>
      <c r="C172" s="69">
        <f t="shared" si="59"/>
        <v>0</v>
      </c>
      <c r="D172" s="69">
        <v>0</v>
      </c>
      <c r="E172" s="69">
        <v>0</v>
      </c>
      <c r="F172" s="69">
        <v>0</v>
      </c>
      <c r="G172" s="69">
        <v>0</v>
      </c>
      <c r="H172" s="69">
        <v>0</v>
      </c>
      <c r="I172" s="69">
        <v>0</v>
      </c>
      <c r="J172" s="74"/>
      <c r="K172" s="41"/>
    </row>
    <row r="173" spans="1:11" s="38" customFormat="1" ht="12" x14ac:dyDescent="0.2">
      <c r="A173" s="41">
        <v>123</v>
      </c>
      <c r="B173" s="61" t="s">
        <v>10</v>
      </c>
      <c r="C173" s="69">
        <f t="shared" si="59"/>
        <v>0</v>
      </c>
      <c r="D173" s="69">
        <v>0</v>
      </c>
      <c r="E173" s="69">
        <v>0</v>
      </c>
      <c r="F173" s="69">
        <v>0</v>
      </c>
      <c r="G173" s="69">
        <v>0</v>
      </c>
      <c r="H173" s="69">
        <v>0</v>
      </c>
      <c r="I173" s="69">
        <v>0</v>
      </c>
      <c r="J173" s="74"/>
      <c r="K173" s="41"/>
    </row>
    <row r="174" spans="1:11" s="38" customFormat="1" ht="12" x14ac:dyDescent="0.2">
      <c r="A174" s="41">
        <v>124</v>
      </c>
      <c r="B174" s="61" t="s">
        <v>11</v>
      </c>
      <c r="C174" s="69">
        <f t="shared" si="59"/>
        <v>123020111.41</v>
      </c>
      <c r="D174" s="69">
        <f>24674975+D179-3701246</f>
        <v>21933694.579999998</v>
      </c>
      <c r="E174" s="69">
        <f>26674975-7570825+E179</f>
        <v>19731679.359999999</v>
      </c>
      <c r="F174" s="69">
        <f>26674975-5985429+494249.02-7057.47-49451.91-378943.09+646604.47</f>
        <v>21394947.02</v>
      </c>
      <c r="G174" s="69">
        <f>32316913-12652822-10185157+903676.54+9452443.46+57927.45</f>
        <v>19892981.449999999</v>
      </c>
      <c r="H174" s="77">
        <f>32316913-12652822-11970357+12141320</f>
        <v>19835054</v>
      </c>
      <c r="I174" s="69">
        <f>32316913-12085158</f>
        <v>20231755</v>
      </c>
      <c r="J174" s="74"/>
      <c r="K174" s="41"/>
    </row>
    <row r="175" spans="1:11" s="38" customFormat="1" ht="12" x14ac:dyDescent="0.2">
      <c r="A175" s="41">
        <v>125</v>
      </c>
      <c r="B175" s="61" t="s">
        <v>12</v>
      </c>
      <c r="C175" s="69">
        <f t="shared" si="59"/>
        <v>395900</v>
      </c>
      <c r="D175" s="69">
        <v>45000</v>
      </c>
      <c r="E175" s="69">
        <f>50000-10000+25200</f>
        <v>65200</v>
      </c>
      <c r="F175" s="69">
        <f>60000-15000+5000+15000+10000+33500+5000</f>
        <v>113500</v>
      </c>
      <c r="G175" s="77">
        <f>60000-15000+6200+17000</f>
        <v>68200</v>
      </c>
      <c r="H175" s="69">
        <f>60000-15000+7000</f>
        <v>52000</v>
      </c>
      <c r="I175" s="69">
        <f>60000-8000</f>
        <v>52000</v>
      </c>
      <c r="J175" s="74"/>
      <c r="K175" s="41"/>
    </row>
    <row r="176" spans="1:11" s="38" customFormat="1" ht="72" x14ac:dyDescent="0.2">
      <c r="A176" s="41">
        <v>126</v>
      </c>
      <c r="B176" s="65" t="s">
        <v>119</v>
      </c>
      <c r="C176" s="73">
        <f t="shared" ref="C176:C178" si="67">SUM(D176:I176)</f>
        <v>4192143.7199999997</v>
      </c>
      <c r="D176" s="73">
        <f>SUM(D177:D180)</f>
        <v>959965.58</v>
      </c>
      <c r="E176" s="73">
        <f t="shared" ref="E176:I176" si="68">SUM(E177:E180)</f>
        <v>627529.36</v>
      </c>
      <c r="F176" s="73">
        <f t="shared" si="68"/>
        <v>494249.02</v>
      </c>
      <c r="G176" s="73">
        <f t="shared" si="68"/>
        <v>2110399.7599999998</v>
      </c>
      <c r="H176" s="73">
        <f t="shared" si="68"/>
        <v>0</v>
      </c>
      <c r="I176" s="73">
        <f t="shared" si="68"/>
        <v>0</v>
      </c>
      <c r="J176" s="54" t="s">
        <v>154</v>
      </c>
      <c r="K176" s="41" t="s">
        <v>149</v>
      </c>
    </row>
    <row r="177" spans="1:11" s="38" customFormat="1" ht="12" x14ac:dyDescent="0.2">
      <c r="A177" s="41">
        <v>127</v>
      </c>
      <c r="B177" s="61" t="s">
        <v>59</v>
      </c>
      <c r="C177" s="69">
        <f t="shared" si="67"/>
        <v>0</v>
      </c>
      <c r="D177" s="69">
        <v>0</v>
      </c>
      <c r="E177" s="69">
        <v>0</v>
      </c>
      <c r="F177" s="69">
        <v>0</v>
      </c>
      <c r="G177" s="69">
        <v>0</v>
      </c>
      <c r="H177" s="69">
        <v>0</v>
      </c>
      <c r="I177" s="69">
        <v>0</v>
      </c>
      <c r="J177" s="54"/>
      <c r="K177" s="41"/>
    </row>
    <row r="178" spans="1:11" s="38" customFormat="1" ht="12" x14ac:dyDescent="0.2">
      <c r="A178" s="41">
        <v>128</v>
      </c>
      <c r="B178" s="61" t="s">
        <v>10</v>
      </c>
      <c r="C178" s="69">
        <f t="shared" si="67"/>
        <v>0</v>
      </c>
      <c r="D178" s="69">
        <v>0</v>
      </c>
      <c r="E178" s="69">
        <v>0</v>
      </c>
      <c r="F178" s="69">
        <v>0</v>
      </c>
      <c r="G178" s="69">
        <v>0</v>
      </c>
      <c r="H178" s="69">
        <v>0</v>
      </c>
      <c r="I178" s="69">
        <v>0</v>
      </c>
      <c r="J178" s="54"/>
      <c r="K178" s="41"/>
    </row>
    <row r="179" spans="1:11" s="38" customFormat="1" ht="12" x14ac:dyDescent="0.2">
      <c r="A179" s="41">
        <v>129</v>
      </c>
      <c r="B179" s="61" t="s">
        <v>11</v>
      </c>
      <c r="C179" s="69">
        <f>SUM(D179:I179)</f>
        <v>4192143.7199999997</v>
      </c>
      <c r="D179" s="69">
        <f>968905.46-8939.88</f>
        <v>959965.58</v>
      </c>
      <c r="E179" s="69">
        <v>627529.36</v>
      </c>
      <c r="F179" s="69">
        <v>494249.02</v>
      </c>
      <c r="G179" s="69">
        <v>2110399.7599999998</v>
      </c>
      <c r="H179" s="69">
        <v>0</v>
      </c>
      <c r="I179" s="69">
        <v>0</v>
      </c>
      <c r="J179" s="54"/>
      <c r="K179" s="41"/>
    </row>
    <row r="180" spans="1:11" s="38" customFormat="1" ht="12" x14ac:dyDescent="0.2">
      <c r="A180" s="41">
        <v>130</v>
      </c>
      <c r="B180" s="61" t="s">
        <v>12</v>
      </c>
      <c r="C180" s="69">
        <f t="shared" ref="C180" si="69">SUM(D180:I180)</f>
        <v>0</v>
      </c>
      <c r="D180" s="69">
        <v>0</v>
      </c>
      <c r="E180" s="69">
        <v>0</v>
      </c>
      <c r="F180" s="69">
        <v>0</v>
      </c>
      <c r="G180" s="69">
        <v>0</v>
      </c>
      <c r="H180" s="69">
        <v>0</v>
      </c>
      <c r="I180" s="69">
        <v>0</v>
      </c>
      <c r="J180" s="54"/>
      <c r="K180" s="41"/>
    </row>
    <row r="181" spans="1:11" s="38" customFormat="1" ht="48" x14ac:dyDescent="0.2">
      <c r="A181" s="41">
        <v>131</v>
      </c>
      <c r="B181" s="65" t="s">
        <v>108</v>
      </c>
      <c r="C181" s="73">
        <f t="shared" si="59"/>
        <v>288379703.63999999</v>
      </c>
      <c r="D181" s="73">
        <f>SUM(D182:D185)</f>
        <v>43729548.120000005</v>
      </c>
      <c r="E181" s="73">
        <f t="shared" ref="E181:I181" si="70">SUM(E182:E185)</f>
        <v>43233513.710000001</v>
      </c>
      <c r="F181" s="73">
        <f t="shared" si="70"/>
        <v>58171610.060000002</v>
      </c>
      <c r="G181" s="73">
        <f t="shared" si="70"/>
        <v>49708814.619999997</v>
      </c>
      <c r="H181" s="73">
        <f t="shared" si="70"/>
        <v>45174602.379999995</v>
      </c>
      <c r="I181" s="73">
        <f t="shared" si="70"/>
        <v>48361614.75</v>
      </c>
      <c r="J181" s="54" t="s">
        <v>163</v>
      </c>
      <c r="K181" s="71"/>
    </row>
    <row r="182" spans="1:11" s="38" customFormat="1" ht="12" x14ac:dyDescent="0.2">
      <c r="A182" s="41">
        <v>132</v>
      </c>
      <c r="B182" s="61" t="s">
        <v>59</v>
      </c>
      <c r="C182" s="69">
        <f t="shared" si="59"/>
        <v>0</v>
      </c>
      <c r="D182" s="69">
        <v>0</v>
      </c>
      <c r="E182" s="69">
        <v>0</v>
      </c>
      <c r="F182" s="69">
        <v>0</v>
      </c>
      <c r="G182" s="69">
        <v>0</v>
      </c>
      <c r="H182" s="69">
        <v>0</v>
      </c>
      <c r="I182" s="69">
        <v>0</v>
      </c>
      <c r="J182" s="74"/>
      <c r="K182" s="41"/>
    </row>
    <row r="183" spans="1:11" s="38" customFormat="1" ht="12" x14ac:dyDescent="0.2">
      <c r="A183" s="41">
        <v>133</v>
      </c>
      <c r="B183" s="61" t="s">
        <v>10</v>
      </c>
      <c r="C183" s="69">
        <f t="shared" si="59"/>
        <v>0</v>
      </c>
      <c r="D183" s="69">
        <v>0</v>
      </c>
      <c r="E183" s="69">
        <v>0</v>
      </c>
      <c r="F183" s="69">
        <v>0</v>
      </c>
      <c r="G183" s="69">
        <v>0</v>
      </c>
      <c r="H183" s="69">
        <v>0</v>
      </c>
      <c r="I183" s="69">
        <v>0</v>
      </c>
      <c r="J183" s="54"/>
      <c r="K183" s="41"/>
    </row>
    <row r="184" spans="1:11" s="38" customFormat="1" ht="12" x14ac:dyDescent="0.2">
      <c r="A184" s="41">
        <v>134</v>
      </c>
      <c r="B184" s="61" t="s">
        <v>11</v>
      </c>
      <c r="C184" s="69">
        <f t="shared" si="59"/>
        <v>237851216.64000002</v>
      </c>
      <c r="D184" s="69">
        <f>31296192+D189+3201246+569149</f>
        <v>35552148.120000005</v>
      </c>
      <c r="E184" s="69">
        <f>32296192+569768+E189+1329860-39547.94+1172297+296560.24</f>
        <v>36088728.710000001</v>
      </c>
      <c r="F184" s="69">
        <f>31801321.43+8205139.57+493212.06+8646271</f>
        <v>49145944.060000002</v>
      </c>
      <c r="G184" s="69">
        <f>32059925+5378275-12622102+1866015.98+13675412.02+621076.62</f>
        <v>40978602.619999997</v>
      </c>
      <c r="H184" s="77">
        <f>32059925+5418274-21504061-1775658.25+22250910.63</f>
        <v>36449390.379999995</v>
      </c>
      <c r="I184" s="69">
        <f>32059925+9352136-1775658.25</f>
        <v>39636402.75</v>
      </c>
      <c r="J184" s="54"/>
      <c r="K184" s="41"/>
    </row>
    <row r="185" spans="1:11" s="38" customFormat="1" ht="12" x14ac:dyDescent="0.2">
      <c r="A185" s="41">
        <v>135</v>
      </c>
      <c r="B185" s="61" t="s">
        <v>12</v>
      </c>
      <c r="C185" s="69">
        <f t="shared" si="59"/>
        <v>50528487</v>
      </c>
      <c r="D185" s="69">
        <v>8177400</v>
      </c>
      <c r="E185" s="69">
        <f>8586200-1576071+134656</f>
        <v>7144785</v>
      </c>
      <c r="F185" s="69">
        <f>9015500-1073660+75000+100000+787000+121826</f>
        <v>9025666</v>
      </c>
      <c r="G185" s="69">
        <f>9015500-1073660+783372+5000</f>
        <v>8730212</v>
      </c>
      <c r="H185" s="69">
        <f>9015500-1073660+783372</f>
        <v>8725212</v>
      </c>
      <c r="I185" s="69">
        <f>9015500-290288</f>
        <v>8725212</v>
      </c>
      <c r="J185" s="54"/>
      <c r="K185" s="41"/>
    </row>
    <row r="186" spans="1:11" s="38" customFormat="1" ht="72" x14ac:dyDescent="0.2">
      <c r="A186" s="41">
        <v>136</v>
      </c>
      <c r="B186" s="65" t="s">
        <v>114</v>
      </c>
      <c r="C186" s="73">
        <f t="shared" si="59"/>
        <v>11443885.48</v>
      </c>
      <c r="D186" s="73">
        <f>SUM(D187:D190)</f>
        <v>485561.12</v>
      </c>
      <c r="E186" s="73">
        <f t="shared" ref="E186:I186" si="71">SUM(E187:E190)</f>
        <v>463599.41</v>
      </c>
      <c r="F186" s="73">
        <f t="shared" si="71"/>
        <v>493212.06</v>
      </c>
      <c r="G186" s="73">
        <f t="shared" si="71"/>
        <v>10001512.890000001</v>
      </c>
      <c r="H186" s="73">
        <f t="shared" si="71"/>
        <v>0</v>
      </c>
      <c r="I186" s="73">
        <f t="shared" si="71"/>
        <v>0</v>
      </c>
      <c r="J186" s="54" t="s">
        <v>154</v>
      </c>
      <c r="K186" s="41" t="s">
        <v>149</v>
      </c>
    </row>
    <row r="187" spans="1:11" s="38" customFormat="1" ht="12" x14ac:dyDescent="0.2">
      <c r="A187" s="41">
        <v>137</v>
      </c>
      <c r="B187" s="61" t="s">
        <v>59</v>
      </c>
      <c r="C187" s="69">
        <f t="shared" si="59"/>
        <v>0</v>
      </c>
      <c r="D187" s="69">
        <v>0</v>
      </c>
      <c r="E187" s="69">
        <v>0</v>
      </c>
      <c r="F187" s="69">
        <v>0</v>
      </c>
      <c r="G187" s="69">
        <v>0</v>
      </c>
      <c r="H187" s="69">
        <v>0</v>
      </c>
      <c r="I187" s="69">
        <v>0</v>
      </c>
      <c r="J187" s="54"/>
      <c r="K187" s="41"/>
    </row>
    <row r="188" spans="1:11" s="38" customFormat="1" ht="12" x14ac:dyDescent="0.2">
      <c r="A188" s="41">
        <v>138</v>
      </c>
      <c r="B188" s="61" t="s">
        <v>10</v>
      </c>
      <c r="C188" s="69">
        <f t="shared" si="59"/>
        <v>0</v>
      </c>
      <c r="D188" s="69">
        <v>0</v>
      </c>
      <c r="E188" s="69">
        <v>0</v>
      </c>
      <c r="F188" s="69">
        <v>0</v>
      </c>
      <c r="G188" s="69">
        <v>0</v>
      </c>
      <c r="H188" s="69">
        <v>0</v>
      </c>
      <c r="I188" s="69">
        <v>0</v>
      </c>
      <c r="J188" s="54"/>
      <c r="K188" s="41"/>
    </row>
    <row r="189" spans="1:11" s="38" customFormat="1" ht="12" x14ac:dyDescent="0.2">
      <c r="A189" s="41">
        <v>139</v>
      </c>
      <c r="B189" s="61" t="s">
        <v>11</v>
      </c>
      <c r="C189" s="69">
        <f>SUM(D189:I189)</f>
        <v>11443885.48</v>
      </c>
      <c r="D189" s="69">
        <v>485561.12</v>
      </c>
      <c r="E189" s="69">
        <f>424051.47+39547.94</f>
        <v>463599.41</v>
      </c>
      <c r="F189" s="69">
        <v>493212.06</v>
      </c>
      <c r="G189" s="69">
        <v>10001512.890000001</v>
      </c>
      <c r="H189" s="69">
        <v>0</v>
      </c>
      <c r="I189" s="69">
        <v>0</v>
      </c>
      <c r="J189" s="54"/>
      <c r="K189" s="41"/>
    </row>
    <row r="190" spans="1:11" s="38" customFormat="1" ht="12" x14ac:dyDescent="0.2">
      <c r="A190" s="41">
        <v>140</v>
      </c>
      <c r="B190" s="61" t="s">
        <v>12</v>
      </c>
      <c r="C190" s="69">
        <f t="shared" ref="C190" si="72">SUM(D190:I190)</f>
        <v>0</v>
      </c>
      <c r="D190" s="69">
        <v>0</v>
      </c>
      <c r="E190" s="69">
        <v>0</v>
      </c>
      <c r="F190" s="69">
        <v>0</v>
      </c>
      <c r="G190" s="69">
        <v>0</v>
      </c>
      <c r="H190" s="69">
        <v>0</v>
      </c>
      <c r="I190" s="69">
        <v>0</v>
      </c>
      <c r="J190" s="54"/>
      <c r="K190" s="41"/>
    </row>
    <row r="191" spans="1:11" s="38" customFormat="1" ht="96" x14ac:dyDescent="0.2">
      <c r="A191" s="41">
        <v>141</v>
      </c>
      <c r="B191" s="65" t="s">
        <v>167</v>
      </c>
      <c r="C191" s="73">
        <f t="shared" ref="C191:C200" si="73">SUM(D191:I191)</f>
        <v>965000</v>
      </c>
      <c r="D191" s="73">
        <f>SUM(D192:D195)</f>
        <v>50000</v>
      </c>
      <c r="E191" s="73">
        <f t="shared" ref="E191:I191" si="74">SUM(E192:E195)</f>
        <v>250000</v>
      </c>
      <c r="F191" s="73">
        <f t="shared" si="74"/>
        <v>215000</v>
      </c>
      <c r="G191" s="73">
        <f t="shared" si="74"/>
        <v>150000</v>
      </c>
      <c r="H191" s="73">
        <f t="shared" si="74"/>
        <v>150000</v>
      </c>
      <c r="I191" s="73">
        <f t="shared" si="74"/>
        <v>150000</v>
      </c>
      <c r="J191" s="54" t="s">
        <v>164</v>
      </c>
      <c r="K191" s="41" t="s">
        <v>149</v>
      </c>
    </row>
    <row r="192" spans="1:11" s="38" customFormat="1" ht="12" x14ac:dyDescent="0.2">
      <c r="A192" s="41">
        <v>142</v>
      </c>
      <c r="B192" s="61" t="s">
        <v>59</v>
      </c>
      <c r="C192" s="69">
        <f t="shared" si="73"/>
        <v>200000</v>
      </c>
      <c r="D192" s="69">
        <v>50000</v>
      </c>
      <c r="E192" s="69">
        <v>50000</v>
      </c>
      <c r="F192" s="69">
        <v>100000</v>
      </c>
      <c r="G192" s="69">
        <v>0</v>
      </c>
      <c r="H192" s="69">
        <v>0</v>
      </c>
      <c r="I192" s="69">
        <v>0</v>
      </c>
      <c r="J192" s="79"/>
      <c r="K192" s="41"/>
    </row>
    <row r="193" spans="1:11" s="38" customFormat="1" ht="12" x14ac:dyDescent="0.2">
      <c r="A193" s="41">
        <v>143</v>
      </c>
      <c r="B193" s="61" t="s">
        <v>10</v>
      </c>
      <c r="C193" s="69">
        <f t="shared" si="73"/>
        <v>0</v>
      </c>
      <c r="D193" s="69">
        <v>0</v>
      </c>
      <c r="E193" s="69">
        <v>0</v>
      </c>
      <c r="F193" s="69">
        <v>0</v>
      </c>
      <c r="G193" s="69">
        <v>0</v>
      </c>
      <c r="H193" s="69">
        <v>0</v>
      </c>
      <c r="I193" s="69">
        <v>0</v>
      </c>
      <c r="J193" s="79"/>
      <c r="K193" s="41"/>
    </row>
    <row r="194" spans="1:11" s="38" customFormat="1" ht="12" x14ac:dyDescent="0.2">
      <c r="A194" s="41">
        <v>144</v>
      </c>
      <c r="B194" s="61" t="s">
        <v>11</v>
      </c>
      <c r="C194" s="69">
        <f t="shared" si="73"/>
        <v>765000</v>
      </c>
      <c r="D194" s="69">
        <v>0</v>
      </c>
      <c r="E194" s="69">
        <v>200000</v>
      </c>
      <c r="F194" s="69">
        <f>150000-35000</f>
        <v>115000</v>
      </c>
      <c r="G194" s="69">
        <f>300000-150000</f>
        <v>150000</v>
      </c>
      <c r="H194" s="69">
        <f>300000-150000</f>
        <v>150000</v>
      </c>
      <c r="I194" s="69">
        <f>150000</f>
        <v>150000</v>
      </c>
      <c r="J194" s="79"/>
      <c r="K194" s="41"/>
    </row>
    <row r="195" spans="1:11" s="38" customFormat="1" ht="12" x14ac:dyDescent="0.2">
      <c r="A195" s="41">
        <v>145</v>
      </c>
      <c r="B195" s="61" t="s">
        <v>12</v>
      </c>
      <c r="C195" s="69">
        <f t="shared" si="73"/>
        <v>0</v>
      </c>
      <c r="D195" s="69">
        <v>0</v>
      </c>
      <c r="E195" s="69">
        <v>0</v>
      </c>
      <c r="F195" s="69">
        <v>0</v>
      </c>
      <c r="G195" s="69">
        <v>0</v>
      </c>
      <c r="H195" s="69">
        <v>0</v>
      </c>
      <c r="I195" s="69">
        <v>0</v>
      </c>
      <c r="J195" s="79"/>
      <c r="K195" s="41"/>
    </row>
    <row r="196" spans="1:11" s="38" customFormat="1" ht="60" x14ac:dyDescent="0.2">
      <c r="A196" s="41">
        <v>146</v>
      </c>
      <c r="B196" s="65" t="s">
        <v>168</v>
      </c>
      <c r="C196" s="73">
        <f t="shared" si="73"/>
        <v>1962074</v>
      </c>
      <c r="D196" s="73">
        <f>SUM(D197:D200)</f>
        <v>0</v>
      </c>
      <c r="E196" s="73">
        <f t="shared" ref="E196:I196" si="75">SUM(E197:E200)</f>
        <v>0</v>
      </c>
      <c r="F196" s="73">
        <f t="shared" si="75"/>
        <v>1789935</v>
      </c>
      <c r="G196" s="73">
        <f t="shared" si="75"/>
        <v>172139</v>
      </c>
      <c r="H196" s="73">
        <f t="shared" si="75"/>
        <v>0</v>
      </c>
      <c r="I196" s="73">
        <f t="shared" si="75"/>
        <v>0</v>
      </c>
      <c r="J196" s="80" t="s">
        <v>150</v>
      </c>
      <c r="K196" s="41" t="s">
        <v>149</v>
      </c>
    </row>
    <row r="197" spans="1:11" s="38" customFormat="1" ht="12" x14ac:dyDescent="0.2">
      <c r="A197" s="41">
        <v>147</v>
      </c>
      <c r="B197" s="61" t="s">
        <v>59</v>
      </c>
      <c r="C197" s="69">
        <f t="shared" si="73"/>
        <v>0</v>
      </c>
      <c r="D197" s="69">
        <v>0</v>
      </c>
      <c r="E197" s="69">
        <v>0</v>
      </c>
      <c r="F197" s="69">
        <v>0</v>
      </c>
      <c r="G197" s="69">
        <v>0</v>
      </c>
      <c r="H197" s="69">
        <v>0</v>
      </c>
      <c r="I197" s="69">
        <v>0</v>
      </c>
      <c r="J197" s="81"/>
      <c r="K197" s="41"/>
    </row>
    <row r="198" spans="1:11" s="38" customFormat="1" ht="12" x14ac:dyDescent="0.2">
      <c r="A198" s="41">
        <v>148</v>
      </c>
      <c r="B198" s="61" t="s">
        <v>10</v>
      </c>
      <c r="C198" s="69">
        <f t="shared" si="73"/>
        <v>0</v>
      </c>
      <c r="D198" s="69">
        <v>0</v>
      </c>
      <c r="E198" s="69">
        <v>0</v>
      </c>
      <c r="F198" s="69">
        <v>0</v>
      </c>
      <c r="G198" s="69">
        <v>0</v>
      </c>
      <c r="H198" s="69">
        <v>0</v>
      </c>
      <c r="I198" s="69">
        <v>0</v>
      </c>
      <c r="J198" s="81"/>
      <c r="K198" s="41"/>
    </row>
    <row r="199" spans="1:11" s="38" customFormat="1" ht="12" x14ac:dyDescent="0.2">
      <c r="A199" s="41">
        <v>149</v>
      </c>
      <c r="B199" s="61" t="s">
        <v>11</v>
      </c>
      <c r="C199" s="69">
        <f t="shared" si="73"/>
        <v>1962074</v>
      </c>
      <c r="D199" s="69">
        <v>0</v>
      </c>
      <c r="E199" s="69">
        <v>0</v>
      </c>
      <c r="F199" s="69">
        <f>1662817+127118</f>
        <v>1789935</v>
      </c>
      <c r="G199" s="69">
        <v>172139</v>
      </c>
      <c r="H199" s="69">
        <v>0</v>
      </c>
      <c r="I199" s="69">
        <v>0</v>
      </c>
      <c r="J199" s="81"/>
      <c r="K199" s="41"/>
    </row>
    <row r="200" spans="1:11" s="38" customFormat="1" ht="12" x14ac:dyDescent="0.2">
      <c r="A200" s="41">
        <v>150</v>
      </c>
      <c r="B200" s="61" t="s">
        <v>12</v>
      </c>
      <c r="C200" s="69">
        <f t="shared" si="73"/>
        <v>0</v>
      </c>
      <c r="D200" s="69">
        <v>0</v>
      </c>
      <c r="E200" s="69">
        <v>0</v>
      </c>
      <c r="F200" s="69">
        <v>0</v>
      </c>
      <c r="G200" s="69">
        <v>0</v>
      </c>
      <c r="H200" s="69">
        <v>0</v>
      </c>
      <c r="I200" s="69">
        <v>0</v>
      </c>
      <c r="J200" s="81"/>
      <c r="K200" s="41"/>
    </row>
    <row r="201" spans="1:11" s="38" customFormat="1" ht="108" x14ac:dyDescent="0.2">
      <c r="A201" s="41">
        <v>151</v>
      </c>
      <c r="B201" s="65" t="s">
        <v>169</v>
      </c>
      <c r="C201" s="73">
        <f t="shared" ref="C201:C205" si="76">SUM(D201:I201)</f>
        <v>3551316.5</v>
      </c>
      <c r="D201" s="73">
        <f>SUM(D202:D205)</f>
        <v>0</v>
      </c>
      <c r="E201" s="73">
        <f t="shared" ref="E201:I201" si="77">SUM(E202:E205)</f>
        <v>0</v>
      </c>
      <c r="F201" s="73">
        <f t="shared" si="77"/>
        <v>0</v>
      </c>
      <c r="G201" s="73">
        <f t="shared" si="77"/>
        <v>0</v>
      </c>
      <c r="H201" s="73">
        <f t="shared" si="77"/>
        <v>1775658.25</v>
      </c>
      <c r="I201" s="73">
        <f t="shared" si="77"/>
        <v>1775658.25</v>
      </c>
      <c r="J201" s="54" t="s">
        <v>170</v>
      </c>
      <c r="K201" s="41" t="s">
        <v>149</v>
      </c>
    </row>
    <row r="202" spans="1:11" s="38" customFormat="1" ht="12" x14ac:dyDescent="0.2">
      <c r="A202" s="41">
        <v>152</v>
      </c>
      <c r="B202" s="61" t="s">
        <v>59</v>
      </c>
      <c r="C202" s="69">
        <f t="shared" si="76"/>
        <v>0</v>
      </c>
      <c r="D202" s="69">
        <v>0</v>
      </c>
      <c r="E202" s="69">
        <v>0</v>
      </c>
      <c r="F202" s="69">
        <v>0</v>
      </c>
      <c r="G202" s="69">
        <v>0</v>
      </c>
      <c r="H202" s="69">
        <v>0</v>
      </c>
      <c r="I202" s="69">
        <v>0</v>
      </c>
      <c r="J202" s="79"/>
      <c r="K202" s="41"/>
    </row>
    <row r="203" spans="1:11" s="38" customFormat="1" ht="12" x14ac:dyDescent="0.2">
      <c r="A203" s="41">
        <v>153</v>
      </c>
      <c r="B203" s="61" t="s">
        <v>10</v>
      </c>
      <c r="C203" s="69">
        <f t="shared" si="76"/>
        <v>0</v>
      </c>
      <c r="D203" s="69">
        <v>0</v>
      </c>
      <c r="E203" s="69">
        <v>0</v>
      </c>
      <c r="F203" s="69">
        <v>0</v>
      </c>
      <c r="G203" s="69">
        <v>0</v>
      </c>
      <c r="H203" s="69">
        <v>0</v>
      </c>
      <c r="I203" s="69">
        <v>0</v>
      </c>
      <c r="J203" s="79"/>
      <c r="K203" s="41"/>
    </row>
    <row r="204" spans="1:11" s="38" customFormat="1" ht="12" x14ac:dyDescent="0.2">
      <c r="A204" s="41">
        <v>154</v>
      </c>
      <c r="B204" s="61" t="s">
        <v>11</v>
      </c>
      <c r="C204" s="69">
        <f t="shared" si="76"/>
        <v>3551316.5</v>
      </c>
      <c r="D204" s="69">
        <v>0</v>
      </c>
      <c r="E204" s="69">
        <v>0</v>
      </c>
      <c r="F204" s="69">
        <v>0</v>
      </c>
      <c r="G204" s="69">
        <v>0</v>
      </c>
      <c r="H204" s="69">
        <v>1775658.25</v>
      </c>
      <c r="I204" s="69">
        <v>1775658.25</v>
      </c>
      <c r="J204" s="79"/>
      <c r="K204" s="41"/>
    </row>
    <row r="205" spans="1:11" s="38" customFormat="1" ht="12" x14ac:dyDescent="0.2">
      <c r="A205" s="41">
        <v>155</v>
      </c>
      <c r="B205" s="61" t="s">
        <v>12</v>
      </c>
      <c r="C205" s="69">
        <f t="shared" si="76"/>
        <v>0</v>
      </c>
      <c r="D205" s="69">
        <v>0</v>
      </c>
      <c r="E205" s="69">
        <v>0</v>
      </c>
      <c r="F205" s="69">
        <v>0</v>
      </c>
      <c r="G205" s="69">
        <v>0</v>
      </c>
      <c r="H205" s="69">
        <v>0</v>
      </c>
      <c r="I205" s="69">
        <v>0</v>
      </c>
      <c r="J205" s="79"/>
      <c r="K205" s="41"/>
    </row>
    <row r="206" spans="1:11" s="38" customFormat="1" ht="12" x14ac:dyDescent="0.2">
      <c r="A206" s="41">
        <v>156</v>
      </c>
      <c r="B206" s="215" t="s">
        <v>15</v>
      </c>
      <c r="C206" s="216"/>
      <c r="D206" s="216"/>
      <c r="E206" s="216"/>
      <c r="F206" s="216"/>
      <c r="G206" s="216"/>
      <c r="H206" s="216"/>
      <c r="I206" s="216"/>
      <c r="J206" s="217"/>
      <c r="K206" s="41"/>
    </row>
    <row r="207" spans="1:11" s="38" customFormat="1" ht="12" x14ac:dyDescent="0.2">
      <c r="A207" s="41">
        <v>157</v>
      </c>
      <c r="B207" s="57" t="s">
        <v>14</v>
      </c>
      <c r="C207" s="68">
        <f>SUM(D207:I207)</f>
        <v>313277795.64999998</v>
      </c>
      <c r="D207" s="68">
        <f>SUM(D208:D211)</f>
        <v>49659554.780000001</v>
      </c>
      <c r="E207" s="68">
        <f t="shared" ref="E207:I207" si="78">SUM(E208:E211)</f>
        <v>53959751.719999999</v>
      </c>
      <c r="F207" s="68">
        <f t="shared" si="78"/>
        <v>60535347.819999993</v>
      </c>
      <c r="G207" s="68">
        <f t="shared" si="78"/>
        <v>53194028.710000001</v>
      </c>
      <c r="H207" s="68">
        <f t="shared" si="78"/>
        <v>44529379.620000005</v>
      </c>
      <c r="I207" s="68">
        <f t="shared" si="78"/>
        <v>51399733</v>
      </c>
      <c r="J207" s="54"/>
      <c r="K207" s="41"/>
    </row>
    <row r="208" spans="1:11" s="38" customFormat="1" ht="12" x14ac:dyDescent="0.2">
      <c r="A208" s="41">
        <v>158</v>
      </c>
      <c r="B208" s="61" t="s">
        <v>59</v>
      </c>
      <c r="C208" s="69">
        <f>SUM(D208:I208)</f>
        <v>0</v>
      </c>
      <c r="D208" s="69">
        <v>0</v>
      </c>
      <c r="E208" s="69">
        <v>0</v>
      </c>
      <c r="F208" s="69">
        <v>0</v>
      </c>
      <c r="G208" s="69">
        <v>0</v>
      </c>
      <c r="H208" s="69">
        <v>0</v>
      </c>
      <c r="I208" s="69">
        <v>0</v>
      </c>
      <c r="J208" s="54"/>
      <c r="K208" s="41"/>
    </row>
    <row r="209" spans="1:11" s="38" customFormat="1" ht="12" x14ac:dyDescent="0.2">
      <c r="A209" s="41">
        <v>159</v>
      </c>
      <c r="B209" s="61" t="s">
        <v>10</v>
      </c>
      <c r="C209" s="69">
        <f>SUM(D209:I209)</f>
        <v>712356</v>
      </c>
      <c r="D209" s="69">
        <f t="shared" ref="D209:I210" si="79">D233</f>
        <v>200000</v>
      </c>
      <c r="E209" s="69">
        <f t="shared" si="79"/>
        <v>84200</v>
      </c>
      <c r="F209" s="69">
        <f t="shared" si="79"/>
        <v>428156</v>
      </c>
      <c r="G209" s="69">
        <f t="shared" si="79"/>
        <v>0</v>
      </c>
      <c r="H209" s="69">
        <f t="shared" si="79"/>
        <v>0</v>
      </c>
      <c r="I209" s="69">
        <f t="shared" si="79"/>
        <v>0</v>
      </c>
      <c r="J209" s="54"/>
      <c r="K209" s="41"/>
    </row>
    <row r="210" spans="1:11" s="38" customFormat="1" ht="12" x14ac:dyDescent="0.2">
      <c r="A210" s="41">
        <v>160</v>
      </c>
      <c r="B210" s="61" t="s">
        <v>11</v>
      </c>
      <c r="C210" s="69">
        <f>SUM(D210:I210)</f>
        <v>273143332.64999998</v>
      </c>
      <c r="D210" s="69">
        <f>D234</f>
        <v>44267554.780000001</v>
      </c>
      <c r="E210" s="69">
        <f t="shared" si="79"/>
        <v>47042401.719999999</v>
      </c>
      <c r="F210" s="69">
        <f t="shared" si="79"/>
        <v>53358568.819999993</v>
      </c>
      <c r="G210" s="69">
        <f t="shared" si="79"/>
        <v>46311250.710000001</v>
      </c>
      <c r="H210" s="69">
        <f t="shared" si="79"/>
        <v>37646601.620000005</v>
      </c>
      <c r="I210" s="69">
        <f t="shared" si="79"/>
        <v>44516955</v>
      </c>
      <c r="J210" s="54"/>
      <c r="K210" s="41"/>
    </row>
    <row r="211" spans="1:11" s="38" customFormat="1" ht="12" x14ac:dyDescent="0.2">
      <c r="A211" s="41">
        <v>161</v>
      </c>
      <c r="B211" s="61" t="s">
        <v>12</v>
      </c>
      <c r="C211" s="69">
        <f>SUM(D211:I211)</f>
        <v>39422107</v>
      </c>
      <c r="D211" s="69">
        <f t="shared" ref="D211:I211" si="80">D235</f>
        <v>5192000</v>
      </c>
      <c r="E211" s="69">
        <f t="shared" si="80"/>
        <v>6833150</v>
      </c>
      <c r="F211" s="69">
        <f t="shared" si="80"/>
        <v>6748623</v>
      </c>
      <c r="G211" s="69">
        <f t="shared" si="80"/>
        <v>6882778</v>
      </c>
      <c r="H211" s="69">
        <f t="shared" si="80"/>
        <v>6882778</v>
      </c>
      <c r="I211" s="69">
        <f t="shared" si="80"/>
        <v>6882778</v>
      </c>
      <c r="J211" s="54"/>
      <c r="K211" s="41"/>
    </row>
    <row r="212" spans="1:11" s="38" customFormat="1" ht="12" x14ac:dyDescent="0.2">
      <c r="A212" s="41">
        <v>162</v>
      </c>
      <c r="B212" s="215" t="s">
        <v>60</v>
      </c>
      <c r="C212" s="216"/>
      <c r="D212" s="216"/>
      <c r="E212" s="216"/>
      <c r="F212" s="216"/>
      <c r="G212" s="216"/>
      <c r="H212" s="216"/>
      <c r="I212" s="216"/>
      <c r="J212" s="217"/>
      <c r="K212" s="41"/>
    </row>
    <row r="213" spans="1:11" s="38" customFormat="1" ht="36" x14ac:dyDescent="0.2">
      <c r="A213" s="41">
        <v>163</v>
      </c>
      <c r="B213" s="82" t="s">
        <v>62</v>
      </c>
      <c r="C213" s="68">
        <f>SUM(D213:I213)</f>
        <v>0</v>
      </c>
      <c r="D213" s="68">
        <f>SUM(D214:D217)</f>
        <v>0</v>
      </c>
      <c r="E213" s="68">
        <f t="shared" ref="E213:I213" si="81">SUM(E214:E217)</f>
        <v>0</v>
      </c>
      <c r="F213" s="68">
        <f t="shared" si="81"/>
        <v>0</v>
      </c>
      <c r="G213" s="68">
        <f t="shared" si="81"/>
        <v>0</v>
      </c>
      <c r="H213" s="68">
        <f t="shared" si="81"/>
        <v>0</v>
      </c>
      <c r="I213" s="68">
        <f t="shared" si="81"/>
        <v>0</v>
      </c>
      <c r="J213" s="54"/>
      <c r="K213" s="41"/>
    </row>
    <row r="214" spans="1:11" s="38" customFormat="1" ht="12" x14ac:dyDescent="0.2">
      <c r="A214" s="41">
        <v>164</v>
      </c>
      <c r="B214" s="61" t="s">
        <v>59</v>
      </c>
      <c r="C214" s="69">
        <f>SUM(D214:I214)</f>
        <v>0</v>
      </c>
      <c r="D214" s="69">
        <f>D220+D226</f>
        <v>0</v>
      </c>
      <c r="E214" s="69">
        <f t="shared" ref="E214:I214" si="82">E220+E226</f>
        <v>0</v>
      </c>
      <c r="F214" s="69">
        <f t="shared" si="82"/>
        <v>0</v>
      </c>
      <c r="G214" s="69">
        <f t="shared" si="82"/>
        <v>0</v>
      </c>
      <c r="H214" s="69">
        <f t="shared" si="82"/>
        <v>0</v>
      </c>
      <c r="I214" s="69">
        <f t="shared" si="82"/>
        <v>0</v>
      </c>
      <c r="J214" s="54"/>
      <c r="K214" s="41"/>
    </row>
    <row r="215" spans="1:11" s="38" customFormat="1" ht="12" x14ac:dyDescent="0.2">
      <c r="A215" s="41">
        <v>165</v>
      </c>
      <c r="B215" s="83" t="s">
        <v>10</v>
      </c>
      <c r="C215" s="69">
        <f>SUM(D215:I215)</f>
        <v>0</v>
      </c>
      <c r="D215" s="69">
        <f t="shared" ref="D215:I217" si="83">D221+D227</f>
        <v>0</v>
      </c>
      <c r="E215" s="69">
        <f t="shared" si="83"/>
        <v>0</v>
      </c>
      <c r="F215" s="69">
        <f t="shared" si="83"/>
        <v>0</v>
      </c>
      <c r="G215" s="69">
        <f t="shared" si="83"/>
        <v>0</v>
      </c>
      <c r="H215" s="69">
        <f t="shared" si="83"/>
        <v>0</v>
      </c>
      <c r="I215" s="69">
        <f t="shared" si="83"/>
        <v>0</v>
      </c>
      <c r="J215" s="54"/>
      <c r="K215" s="41"/>
    </row>
    <row r="216" spans="1:11" s="38" customFormat="1" ht="12" x14ac:dyDescent="0.2">
      <c r="A216" s="41">
        <v>166</v>
      </c>
      <c r="B216" s="83" t="s">
        <v>11</v>
      </c>
      <c r="C216" s="69">
        <f>SUM(D216:I216)</f>
        <v>0</v>
      </c>
      <c r="D216" s="69">
        <f t="shared" si="83"/>
        <v>0</v>
      </c>
      <c r="E216" s="69">
        <f t="shared" si="83"/>
        <v>0</v>
      </c>
      <c r="F216" s="69">
        <f t="shared" si="83"/>
        <v>0</v>
      </c>
      <c r="G216" s="69">
        <f t="shared" si="83"/>
        <v>0</v>
      </c>
      <c r="H216" s="69">
        <f t="shared" si="83"/>
        <v>0</v>
      </c>
      <c r="I216" s="69">
        <f t="shared" si="83"/>
        <v>0</v>
      </c>
      <c r="J216" s="54"/>
      <c r="K216" s="41"/>
    </row>
    <row r="217" spans="1:11" s="38" customFormat="1" ht="12" x14ac:dyDescent="0.2">
      <c r="A217" s="41">
        <v>167</v>
      </c>
      <c r="B217" s="83" t="s">
        <v>12</v>
      </c>
      <c r="C217" s="69">
        <f>SUM(D217:I217)</f>
        <v>0</v>
      </c>
      <c r="D217" s="69">
        <f t="shared" si="83"/>
        <v>0</v>
      </c>
      <c r="E217" s="69">
        <f t="shared" si="83"/>
        <v>0</v>
      </c>
      <c r="F217" s="69">
        <f t="shared" si="83"/>
        <v>0</v>
      </c>
      <c r="G217" s="69">
        <f t="shared" si="83"/>
        <v>0</v>
      </c>
      <c r="H217" s="69">
        <f t="shared" si="83"/>
        <v>0</v>
      </c>
      <c r="I217" s="69">
        <f t="shared" si="83"/>
        <v>0</v>
      </c>
      <c r="J217" s="54"/>
      <c r="K217" s="41"/>
    </row>
    <row r="218" spans="1:11" s="38" customFormat="1" ht="12" x14ac:dyDescent="0.2">
      <c r="A218" s="41">
        <v>168</v>
      </c>
      <c r="B218" s="221" t="s">
        <v>145</v>
      </c>
      <c r="C218" s="222"/>
      <c r="D218" s="222"/>
      <c r="E218" s="222"/>
      <c r="F218" s="222"/>
      <c r="G218" s="222"/>
      <c r="H218" s="222"/>
      <c r="I218" s="222"/>
      <c r="J218" s="223"/>
      <c r="K218" s="41"/>
    </row>
    <row r="219" spans="1:11" s="38" customFormat="1" ht="36" x14ac:dyDescent="0.2">
      <c r="A219" s="41">
        <v>169</v>
      </c>
      <c r="B219" s="71" t="s">
        <v>146</v>
      </c>
      <c r="C219" s="68">
        <f>SUM(D219:I219)</f>
        <v>0</v>
      </c>
      <c r="D219" s="68">
        <f>SUM(D220:D223)</f>
        <v>0</v>
      </c>
      <c r="E219" s="68">
        <f t="shared" ref="E219:I219" si="84">SUM(E220:E223)</f>
        <v>0</v>
      </c>
      <c r="F219" s="68">
        <f t="shared" si="84"/>
        <v>0</v>
      </c>
      <c r="G219" s="68">
        <f t="shared" si="84"/>
        <v>0</v>
      </c>
      <c r="H219" s="68">
        <f t="shared" si="84"/>
        <v>0</v>
      </c>
      <c r="I219" s="68">
        <f t="shared" si="84"/>
        <v>0</v>
      </c>
      <c r="J219" s="54"/>
      <c r="K219" s="41"/>
    </row>
    <row r="220" spans="1:11" s="38" customFormat="1" ht="12" x14ac:dyDescent="0.2">
      <c r="A220" s="41">
        <v>170</v>
      </c>
      <c r="B220" s="71" t="s">
        <v>59</v>
      </c>
      <c r="C220" s="69">
        <f t="shared" ref="C220:C223" si="85">SUM(D220:I220)</f>
        <v>0</v>
      </c>
      <c r="D220" s="69">
        <v>0</v>
      </c>
      <c r="E220" s="69">
        <v>0</v>
      </c>
      <c r="F220" s="69">
        <v>0</v>
      </c>
      <c r="G220" s="69">
        <v>0</v>
      </c>
      <c r="H220" s="69">
        <v>0</v>
      </c>
      <c r="I220" s="69">
        <v>0</v>
      </c>
      <c r="J220" s="54"/>
      <c r="K220" s="41"/>
    </row>
    <row r="221" spans="1:11" s="38" customFormat="1" ht="12" x14ac:dyDescent="0.2">
      <c r="A221" s="41">
        <v>171</v>
      </c>
      <c r="B221" s="71" t="s">
        <v>10</v>
      </c>
      <c r="C221" s="69">
        <f t="shared" si="85"/>
        <v>0</v>
      </c>
      <c r="D221" s="69">
        <v>0</v>
      </c>
      <c r="E221" s="69">
        <v>0</v>
      </c>
      <c r="F221" s="69">
        <v>0</v>
      </c>
      <c r="G221" s="69">
        <v>0</v>
      </c>
      <c r="H221" s="69">
        <v>0</v>
      </c>
      <c r="I221" s="69">
        <v>0</v>
      </c>
      <c r="J221" s="54"/>
      <c r="K221" s="41"/>
    </row>
    <row r="222" spans="1:11" s="38" customFormat="1" ht="12" x14ac:dyDescent="0.2">
      <c r="A222" s="41">
        <v>172</v>
      </c>
      <c r="B222" s="71" t="s">
        <v>11</v>
      </c>
      <c r="C222" s="69">
        <f t="shared" si="85"/>
        <v>0</v>
      </c>
      <c r="D222" s="69">
        <v>0</v>
      </c>
      <c r="E222" s="69">
        <v>0</v>
      </c>
      <c r="F222" s="69">
        <v>0</v>
      </c>
      <c r="G222" s="69">
        <v>0</v>
      </c>
      <c r="H222" s="69">
        <v>0</v>
      </c>
      <c r="I222" s="69">
        <v>0</v>
      </c>
      <c r="J222" s="54"/>
      <c r="K222" s="41"/>
    </row>
    <row r="223" spans="1:11" s="38" customFormat="1" ht="12" x14ac:dyDescent="0.2">
      <c r="A223" s="41">
        <v>173</v>
      </c>
      <c r="B223" s="71" t="s">
        <v>12</v>
      </c>
      <c r="C223" s="69">
        <f t="shared" si="85"/>
        <v>0</v>
      </c>
      <c r="D223" s="69">
        <v>0</v>
      </c>
      <c r="E223" s="69">
        <v>0</v>
      </c>
      <c r="F223" s="69">
        <v>0</v>
      </c>
      <c r="G223" s="69">
        <v>0</v>
      </c>
      <c r="H223" s="69">
        <v>0</v>
      </c>
      <c r="I223" s="69">
        <v>0</v>
      </c>
      <c r="J223" s="54"/>
      <c r="K223" s="41"/>
    </row>
    <row r="224" spans="1:11" s="38" customFormat="1" ht="12" x14ac:dyDescent="0.2">
      <c r="A224" s="41">
        <v>174</v>
      </c>
      <c r="B224" s="218" t="s">
        <v>151</v>
      </c>
      <c r="C224" s="219"/>
      <c r="D224" s="219"/>
      <c r="E224" s="219"/>
      <c r="F224" s="219"/>
      <c r="G224" s="219"/>
      <c r="H224" s="219"/>
      <c r="I224" s="219"/>
      <c r="J224" s="220"/>
      <c r="K224" s="41"/>
    </row>
    <row r="225" spans="1:11" s="38" customFormat="1" ht="24" x14ac:dyDescent="0.2">
      <c r="A225" s="41">
        <v>175</v>
      </c>
      <c r="B225" s="71" t="s">
        <v>152</v>
      </c>
      <c r="C225" s="68">
        <f>SUM(D225:I225)</f>
        <v>0</v>
      </c>
      <c r="D225" s="68">
        <f>SUM(D226:D229)</f>
        <v>0</v>
      </c>
      <c r="E225" s="68">
        <f t="shared" ref="E225:I225" si="86">SUM(E226:E229)</f>
        <v>0</v>
      </c>
      <c r="F225" s="68">
        <f t="shared" si="86"/>
        <v>0</v>
      </c>
      <c r="G225" s="68">
        <f t="shared" si="86"/>
        <v>0</v>
      </c>
      <c r="H225" s="68">
        <f t="shared" si="86"/>
        <v>0</v>
      </c>
      <c r="I225" s="68">
        <f t="shared" si="86"/>
        <v>0</v>
      </c>
      <c r="J225" s="54"/>
      <c r="K225" s="41"/>
    </row>
    <row r="226" spans="1:11" s="38" customFormat="1" ht="12" x14ac:dyDescent="0.2">
      <c r="A226" s="41">
        <v>176</v>
      </c>
      <c r="B226" s="71" t="s">
        <v>59</v>
      </c>
      <c r="C226" s="69">
        <f t="shared" ref="C226:C229" si="87">SUM(D226:I226)</f>
        <v>0</v>
      </c>
      <c r="D226" s="69">
        <v>0</v>
      </c>
      <c r="E226" s="69">
        <v>0</v>
      </c>
      <c r="F226" s="69">
        <v>0</v>
      </c>
      <c r="G226" s="69">
        <v>0</v>
      </c>
      <c r="H226" s="69">
        <v>0</v>
      </c>
      <c r="I226" s="69">
        <v>0</v>
      </c>
      <c r="J226" s="54"/>
      <c r="K226" s="41"/>
    </row>
    <row r="227" spans="1:11" s="38" customFormat="1" ht="12" x14ac:dyDescent="0.2">
      <c r="A227" s="41">
        <v>177</v>
      </c>
      <c r="B227" s="71" t="s">
        <v>10</v>
      </c>
      <c r="C227" s="69">
        <f t="shared" si="87"/>
        <v>0</v>
      </c>
      <c r="D227" s="69">
        <v>0</v>
      </c>
      <c r="E227" s="69">
        <v>0</v>
      </c>
      <c r="F227" s="69">
        <v>0</v>
      </c>
      <c r="G227" s="69">
        <v>0</v>
      </c>
      <c r="H227" s="69">
        <v>0</v>
      </c>
      <c r="I227" s="69">
        <v>0</v>
      </c>
      <c r="J227" s="54"/>
      <c r="K227" s="41"/>
    </row>
    <row r="228" spans="1:11" s="38" customFormat="1" ht="12" x14ac:dyDescent="0.2">
      <c r="A228" s="41">
        <v>178</v>
      </c>
      <c r="B228" s="71" t="s">
        <v>11</v>
      </c>
      <c r="C228" s="69">
        <f t="shared" si="87"/>
        <v>0</v>
      </c>
      <c r="D228" s="69">
        <v>0</v>
      </c>
      <c r="E228" s="69">
        <v>0</v>
      </c>
      <c r="F228" s="69">
        <v>0</v>
      </c>
      <c r="G228" s="69">
        <v>0</v>
      </c>
      <c r="H228" s="69">
        <v>0</v>
      </c>
      <c r="I228" s="69">
        <v>0</v>
      </c>
      <c r="J228" s="54"/>
      <c r="K228" s="41"/>
    </row>
    <row r="229" spans="1:11" s="38" customFormat="1" ht="12" x14ac:dyDescent="0.2">
      <c r="A229" s="41">
        <v>179</v>
      </c>
      <c r="B229" s="71" t="s">
        <v>12</v>
      </c>
      <c r="C229" s="69">
        <f t="shared" si="87"/>
        <v>0</v>
      </c>
      <c r="D229" s="69">
        <v>0</v>
      </c>
      <c r="E229" s="69">
        <v>0</v>
      </c>
      <c r="F229" s="69">
        <v>0</v>
      </c>
      <c r="G229" s="69">
        <v>0</v>
      </c>
      <c r="H229" s="69">
        <v>0</v>
      </c>
      <c r="I229" s="69">
        <v>0</v>
      </c>
      <c r="J229" s="54"/>
      <c r="K229" s="41"/>
    </row>
    <row r="230" spans="1:11" s="38" customFormat="1" ht="12" x14ac:dyDescent="0.2">
      <c r="A230" s="41">
        <v>180</v>
      </c>
      <c r="B230" s="224" t="s">
        <v>22</v>
      </c>
      <c r="C230" s="224"/>
      <c r="D230" s="224"/>
      <c r="E230" s="224"/>
      <c r="F230" s="224"/>
      <c r="G230" s="224"/>
      <c r="H230" s="224"/>
      <c r="I230" s="224"/>
      <c r="J230" s="224"/>
      <c r="K230" s="41"/>
    </row>
    <row r="231" spans="1:11" s="38" customFormat="1" ht="24" x14ac:dyDescent="0.2">
      <c r="A231" s="41">
        <v>181</v>
      </c>
      <c r="B231" s="57" t="s">
        <v>23</v>
      </c>
      <c r="C231" s="68">
        <f>SUM(D231:I231)</f>
        <v>313277795.64999998</v>
      </c>
      <c r="D231" s="68">
        <f>SUM(D232:D235)</f>
        <v>49659554.780000001</v>
      </c>
      <c r="E231" s="68">
        <f t="shared" ref="E231:I231" si="88">SUM(E232:E235)</f>
        <v>53959751.719999999</v>
      </c>
      <c r="F231" s="68">
        <f t="shared" si="88"/>
        <v>60535347.819999993</v>
      </c>
      <c r="G231" s="68">
        <f t="shared" si="88"/>
        <v>53194028.710000001</v>
      </c>
      <c r="H231" s="68">
        <f t="shared" si="88"/>
        <v>44529379.620000005</v>
      </c>
      <c r="I231" s="68">
        <f t="shared" si="88"/>
        <v>51399733</v>
      </c>
      <c r="J231" s="54"/>
      <c r="K231" s="41"/>
    </row>
    <row r="232" spans="1:11" s="38" customFormat="1" ht="12" x14ac:dyDescent="0.2">
      <c r="A232" s="41">
        <v>182</v>
      </c>
      <c r="B232" s="61" t="s">
        <v>59</v>
      </c>
      <c r="C232" s="69">
        <f t="shared" ref="C232:C233" si="89">SUM(D232:I232)</f>
        <v>0</v>
      </c>
      <c r="D232" s="69">
        <f>D237+D247+D268+D285+D290</f>
        <v>0</v>
      </c>
      <c r="E232" s="69">
        <f t="shared" ref="E232:I235" si="90">E237+E247+E268+E285+E290</f>
        <v>0</v>
      </c>
      <c r="F232" s="69">
        <f>F237+F247+F268+F285+F290</f>
        <v>0</v>
      </c>
      <c r="G232" s="69">
        <f t="shared" si="90"/>
        <v>0</v>
      </c>
      <c r="H232" s="69">
        <f t="shared" si="90"/>
        <v>0</v>
      </c>
      <c r="I232" s="69">
        <f t="shared" si="90"/>
        <v>0</v>
      </c>
      <c r="J232" s="54"/>
      <c r="K232" s="41"/>
    </row>
    <row r="233" spans="1:11" s="38" customFormat="1" ht="12" x14ac:dyDescent="0.2">
      <c r="A233" s="41">
        <v>183</v>
      </c>
      <c r="B233" s="61" t="s">
        <v>10</v>
      </c>
      <c r="C233" s="69">
        <f t="shared" si="89"/>
        <v>712356</v>
      </c>
      <c r="D233" s="69">
        <f>D238+D248+D269+D286+D291</f>
        <v>200000</v>
      </c>
      <c r="E233" s="69">
        <f t="shared" si="90"/>
        <v>84200</v>
      </c>
      <c r="F233" s="69">
        <f>F238+F248+F269+F286+F291+F296</f>
        <v>428156</v>
      </c>
      <c r="G233" s="69">
        <f t="shared" si="90"/>
        <v>0</v>
      </c>
      <c r="H233" s="69">
        <f t="shared" si="90"/>
        <v>0</v>
      </c>
      <c r="I233" s="69">
        <f t="shared" si="90"/>
        <v>0</v>
      </c>
      <c r="J233" s="54"/>
      <c r="K233" s="41"/>
    </row>
    <row r="234" spans="1:11" s="38" customFormat="1" ht="12" x14ac:dyDescent="0.2">
      <c r="A234" s="41">
        <v>184</v>
      </c>
      <c r="B234" s="61" t="s">
        <v>11</v>
      </c>
      <c r="C234" s="69">
        <f t="shared" ref="C234:C247" si="91">SUM(D234:I234)</f>
        <v>273143332.64999998</v>
      </c>
      <c r="D234" s="69">
        <f>D239+D249+D270+D287+D292</f>
        <v>44267554.780000001</v>
      </c>
      <c r="E234" s="69">
        <f t="shared" si="90"/>
        <v>47042401.719999999</v>
      </c>
      <c r="F234" s="69">
        <f>F239+F249+F270+F287+F292+F297</f>
        <v>53358568.819999993</v>
      </c>
      <c r="G234" s="69">
        <f t="shared" si="90"/>
        <v>46311250.710000001</v>
      </c>
      <c r="H234" s="69">
        <f t="shared" si="90"/>
        <v>37646601.620000005</v>
      </c>
      <c r="I234" s="69">
        <f t="shared" si="90"/>
        <v>44516955</v>
      </c>
      <c r="J234" s="54"/>
      <c r="K234" s="41"/>
    </row>
    <row r="235" spans="1:11" s="38" customFormat="1" ht="12" x14ac:dyDescent="0.2">
      <c r="A235" s="41">
        <v>185</v>
      </c>
      <c r="B235" s="61" t="s">
        <v>12</v>
      </c>
      <c r="C235" s="69">
        <f t="shared" si="91"/>
        <v>39422107</v>
      </c>
      <c r="D235" s="69">
        <f>D240+D250+D271+D288+D293</f>
        <v>5192000</v>
      </c>
      <c r="E235" s="69">
        <f t="shared" si="90"/>
        <v>6833150</v>
      </c>
      <c r="F235" s="69">
        <f>F240+F250+F271+F288+F293+F298</f>
        <v>6748623</v>
      </c>
      <c r="G235" s="69">
        <f t="shared" si="90"/>
        <v>6882778</v>
      </c>
      <c r="H235" s="69">
        <f t="shared" si="90"/>
        <v>6882778</v>
      </c>
      <c r="I235" s="69">
        <f t="shared" si="90"/>
        <v>6882778</v>
      </c>
      <c r="J235" s="54"/>
      <c r="K235" s="41"/>
    </row>
    <row r="236" spans="1:11" s="38" customFormat="1" ht="60" x14ac:dyDescent="0.2">
      <c r="A236" s="41">
        <v>186</v>
      </c>
      <c r="B236" s="65" t="s">
        <v>171</v>
      </c>
      <c r="C236" s="73">
        <f t="shared" si="91"/>
        <v>307802406.71999997</v>
      </c>
      <c r="D236" s="73">
        <f t="shared" ref="D236:I236" si="92">SUM(D238:D240)</f>
        <v>48972554.780000001</v>
      </c>
      <c r="E236" s="73">
        <f t="shared" si="92"/>
        <v>53206078.719999999</v>
      </c>
      <c r="F236" s="73">
        <f t="shared" si="92"/>
        <v>59084810.269999996</v>
      </c>
      <c r="G236" s="73">
        <f t="shared" si="92"/>
        <v>50829850.329999998</v>
      </c>
      <c r="H236" s="73">
        <f t="shared" si="92"/>
        <v>44419379.620000005</v>
      </c>
      <c r="I236" s="73">
        <f t="shared" si="92"/>
        <v>51289733</v>
      </c>
      <c r="J236" s="84" t="s">
        <v>172</v>
      </c>
      <c r="K236" s="41" t="s">
        <v>149</v>
      </c>
    </row>
    <row r="237" spans="1:11" s="38" customFormat="1" ht="12" x14ac:dyDescent="0.2">
      <c r="A237" s="41">
        <v>187</v>
      </c>
      <c r="B237" s="61" t="s">
        <v>59</v>
      </c>
      <c r="C237" s="69">
        <f t="shared" si="91"/>
        <v>0</v>
      </c>
      <c r="D237" s="69">
        <v>0</v>
      </c>
      <c r="E237" s="69">
        <v>0</v>
      </c>
      <c r="F237" s="69">
        <v>0</v>
      </c>
      <c r="G237" s="69">
        <v>0</v>
      </c>
      <c r="H237" s="69">
        <v>0</v>
      </c>
      <c r="I237" s="69">
        <v>0</v>
      </c>
      <c r="J237" s="54"/>
      <c r="K237" s="41"/>
    </row>
    <row r="238" spans="1:11" s="38" customFormat="1" ht="12" x14ac:dyDescent="0.2">
      <c r="A238" s="41">
        <v>188</v>
      </c>
      <c r="B238" s="61" t="s">
        <v>10</v>
      </c>
      <c r="C238" s="69">
        <f t="shared" si="91"/>
        <v>0</v>
      </c>
      <c r="D238" s="69">
        <v>0</v>
      </c>
      <c r="E238" s="69">
        <v>0</v>
      </c>
      <c r="F238" s="69">
        <v>0</v>
      </c>
      <c r="G238" s="69">
        <v>0</v>
      </c>
      <c r="H238" s="69">
        <v>0</v>
      </c>
      <c r="I238" s="69">
        <v>0</v>
      </c>
      <c r="J238" s="54"/>
      <c r="K238" s="41"/>
    </row>
    <row r="239" spans="1:11" s="38" customFormat="1" ht="12" x14ac:dyDescent="0.2">
      <c r="A239" s="41">
        <v>189</v>
      </c>
      <c r="B239" s="61" t="s">
        <v>11</v>
      </c>
      <c r="C239" s="69">
        <f t="shared" si="91"/>
        <v>269350747.71999997</v>
      </c>
      <c r="D239" s="69">
        <f>38509151+D244+5736922.28-569149</f>
        <v>44207554.780000001</v>
      </c>
      <c r="E239" s="69">
        <f>38509151+E244-2422000+2988329+3601446+1000000+2608357</f>
        <v>46787928.719999999</v>
      </c>
      <c r="F239" s="69">
        <f>38509151-2197000+12545200+417491.51+59593.84+54451.91+134961.01+2940786</f>
        <v>52464635.269999996</v>
      </c>
      <c r="G239" s="69">
        <f>42467256+4828801-28661969+855973.86+22539850.18+1917160.29</f>
        <v>43947072.329999998</v>
      </c>
      <c r="H239" s="77">
        <f>42467256+4828802-32553685-5999630.38+28793859</f>
        <v>37536601.620000005</v>
      </c>
      <c r="I239" s="69">
        <f>42467256+1939699</f>
        <v>44406955</v>
      </c>
      <c r="J239" s="54"/>
      <c r="K239" s="41"/>
    </row>
    <row r="240" spans="1:11" s="38" customFormat="1" ht="12" x14ac:dyDescent="0.2">
      <c r="A240" s="41">
        <v>190</v>
      </c>
      <c r="B240" s="61" t="s">
        <v>12</v>
      </c>
      <c r="C240" s="69">
        <f t="shared" si="91"/>
        <v>38451659</v>
      </c>
      <c r="D240" s="69">
        <v>4765000</v>
      </c>
      <c r="E240" s="69">
        <f>5000000+1418150</f>
        <v>6418150</v>
      </c>
      <c r="F240" s="69">
        <f>5250000+1370175</f>
        <v>6620175</v>
      </c>
      <c r="G240" s="69">
        <f>5250000+1370175+262603</f>
        <v>6882778</v>
      </c>
      <c r="H240" s="85">
        <f>5250000+1370175+262603</f>
        <v>6882778</v>
      </c>
      <c r="I240" s="69">
        <f>5250000+1632778</f>
        <v>6882778</v>
      </c>
      <c r="J240" s="54"/>
      <c r="K240" s="41"/>
    </row>
    <row r="241" spans="1:11" s="38" customFormat="1" ht="72" x14ac:dyDescent="0.2">
      <c r="A241" s="41">
        <v>191</v>
      </c>
      <c r="B241" s="65" t="s">
        <v>173</v>
      </c>
      <c r="C241" s="73">
        <f t="shared" ref="C241:C243" si="93">SUM(D241:I241)</f>
        <v>5591489.4900000002</v>
      </c>
      <c r="D241" s="73">
        <f>SUM(D242:D245)</f>
        <v>530630.5</v>
      </c>
      <c r="E241" s="73">
        <f t="shared" ref="E241:I241" si="94">SUM(E242:E245)</f>
        <v>502645.72</v>
      </c>
      <c r="F241" s="73">
        <f t="shared" si="94"/>
        <v>666498.27</v>
      </c>
      <c r="G241" s="73">
        <f t="shared" si="94"/>
        <v>3891715</v>
      </c>
      <c r="H241" s="73">
        <f t="shared" si="94"/>
        <v>0</v>
      </c>
      <c r="I241" s="73">
        <f t="shared" si="94"/>
        <v>0</v>
      </c>
      <c r="J241" s="84" t="s">
        <v>172</v>
      </c>
      <c r="K241" s="41" t="s">
        <v>149</v>
      </c>
    </row>
    <row r="242" spans="1:11" s="38" customFormat="1" ht="12" x14ac:dyDescent="0.2">
      <c r="A242" s="41">
        <v>192</v>
      </c>
      <c r="B242" s="61" t="s">
        <v>59</v>
      </c>
      <c r="C242" s="69">
        <f t="shared" si="93"/>
        <v>0</v>
      </c>
      <c r="D242" s="69">
        <v>0</v>
      </c>
      <c r="E242" s="69">
        <v>0</v>
      </c>
      <c r="F242" s="69">
        <v>0</v>
      </c>
      <c r="G242" s="69">
        <v>0</v>
      </c>
      <c r="H242" s="69">
        <v>0</v>
      </c>
      <c r="I242" s="69">
        <v>0</v>
      </c>
      <c r="J242" s="74"/>
      <c r="K242" s="41"/>
    </row>
    <row r="243" spans="1:11" s="38" customFormat="1" ht="12" x14ac:dyDescent="0.2">
      <c r="A243" s="41">
        <v>193</v>
      </c>
      <c r="B243" s="61" t="s">
        <v>10</v>
      </c>
      <c r="C243" s="69">
        <f t="shared" si="93"/>
        <v>0</v>
      </c>
      <c r="D243" s="69">
        <v>0</v>
      </c>
      <c r="E243" s="69">
        <v>0</v>
      </c>
      <c r="F243" s="69">
        <v>0</v>
      </c>
      <c r="G243" s="69">
        <v>0</v>
      </c>
      <c r="H243" s="69">
        <v>0</v>
      </c>
      <c r="I243" s="69">
        <v>0</v>
      </c>
      <c r="J243" s="54"/>
      <c r="K243" s="41"/>
    </row>
    <row r="244" spans="1:11" s="38" customFormat="1" ht="12" x14ac:dyDescent="0.2">
      <c r="A244" s="41">
        <v>194</v>
      </c>
      <c r="B244" s="61" t="s">
        <v>11</v>
      </c>
      <c r="C244" s="69">
        <f>SUM(D244:I244)</f>
        <v>5591489.4900000002</v>
      </c>
      <c r="D244" s="69">
        <f>539622.5-8992</f>
        <v>530630.5</v>
      </c>
      <c r="E244" s="69">
        <v>502645.72</v>
      </c>
      <c r="F244" s="69">
        <f>417491.51+59593.84+54451.91+134961.01</f>
        <v>666498.27</v>
      </c>
      <c r="G244" s="69">
        <v>3891715</v>
      </c>
      <c r="H244" s="69">
        <v>0</v>
      </c>
      <c r="I244" s="69">
        <v>0</v>
      </c>
      <c r="J244" s="54"/>
      <c r="K244" s="41"/>
    </row>
    <row r="245" spans="1:11" s="38" customFormat="1" ht="12" x14ac:dyDescent="0.2">
      <c r="A245" s="41">
        <v>195</v>
      </c>
      <c r="B245" s="61" t="s">
        <v>12</v>
      </c>
      <c r="C245" s="69">
        <f t="shared" ref="C245" si="95">SUM(D245:I245)</f>
        <v>0</v>
      </c>
      <c r="D245" s="69"/>
      <c r="E245" s="69"/>
      <c r="F245" s="69"/>
      <c r="G245" s="69"/>
      <c r="H245" s="69"/>
      <c r="I245" s="69"/>
      <c r="J245" s="54"/>
      <c r="K245" s="41"/>
    </row>
    <row r="246" spans="1:11" s="38" customFormat="1" ht="72" x14ac:dyDescent="0.2">
      <c r="A246" s="41">
        <v>196</v>
      </c>
      <c r="B246" s="65" t="s">
        <v>174</v>
      </c>
      <c r="C246" s="73">
        <f t="shared" si="91"/>
        <v>854737.22</v>
      </c>
      <c r="D246" s="68">
        <f>SUM(D247:D250)</f>
        <v>187000</v>
      </c>
      <c r="E246" s="68">
        <f t="shared" ref="E246:I246" si="96">SUM(E247:E250)</f>
        <v>215000</v>
      </c>
      <c r="F246" s="68">
        <f t="shared" si="96"/>
        <v>122737.22</v>
      </c>
      <c r="G246" s="68">
        <f t="shared" si="96"/>
        <v>110000</v>
      </c>
      <c r="H246" s="68">
        <f t="shared" si="96"/>
        <v>110000</v>
      </c>
      <c r="I246" s="68">
        <f t="shared" si="96"/>
        <v>110000</v>
      </c>
      <c r="J246" s="84" t="s">
        <v>175</v>
      </c>
      <c r="K246" s="41" t="s">
        <v>149</v>
      </c>
    </row>
    <row r="247" spans="1:11" s="38" customFormat="1" ht="12" x14ac:dyDescent="0.2">
      <c r="A247" s="41">
        <v>197</v>
      </c>
      <c r="B247" s="61" t="s">
        <v>59</v>
      </c>
      <c r="C247" s="69">
        <f t="shared" si="91"/>
        <v>0</v>
      </c>
      <c r="D247" s="69">
        <v>0</v>
      </c>
      <c r="E247" s="69">
        <v>0</v>
      </c>
      <c r="F247" s="69">
        <v>0</v>
      </c>
      <c r="G247" s="69">
        <v>0</v>
      </c>
      <c r="H247" s="69">
        <v>0</v>
      </c>
      <c r="I247" s="69">
        <v>0</v>
      </c>
      <c r="J247" s="86"/>
      <c r="K247" s="41"/>
    </row>
    <row r="248" spans="1:11" s="38" customFormat="1" ht="12" x14ac:dyDescent="0.2">
      <c r="A248" s="41">
        <v>198</v>
      </c>
      <c r="B248" s="61" t="s">
        <v>10</v>
      </c>
      <c r="C248" s="69">
        <f t="shared" ref="C248:C289" si="97">SUM(D248:I248)</f>
        <v>0</v>
      </c>
      <c r="D248" s="69">
        <v>0</v>
      </c>
      <c r="E248" s="69">
        <v>0</v>
      </c>
      <c r="F248" s="69">
        <v>0</v>
      </c>
      <c r="G248" s="69">
        <v>0</v>
      </c>
      <c r="H248" s="69">
        <v>0</v>
      </c>
      <c r="I248" s="69">
        <v>0</v>
      </c>
      <c r="J248" s="54"/>
      <c r="K248" s="41"/>
    </row>
    <row r="249" spans="1:11" s="38" customFormat="1" ht="12" x14ac:dyDescent="0.2">
      <c r="A249" s="41">
        <v>199</v>
      </c>
      <c r="B249" s="61" t="s">
        <v>11</v>
      </c>
      <c r="C249" s="69">
        <f t="shared" si="97"/>
        <v>612737.22</v>
      </c>
      <c r="D249" s="69">
        <f>210000-150000</f>
        <v>60000</v>
      </c>
      <c r="E249" s="69">
        <f>70000+60000-30000</f>
        <v>100000</v>
      </c>
      <c r="F249" s="69">
        <f>70000+80000-27262.78</f>
        <v>122737.22</v>
      </c>
      <c r="G249" s="69">
        <f>200000-40000-50000</f>
        <v>110000</v>
      </c>
      <c r="H249" s="69">
        <f>330000-210000-10000</f>
        <v>110000</v>
      </c>
      <c r="I249" s="69">
        <f>240000-130000</f>
        <v>110000</v>
      </c>
      <c r="J249" s="54"/>
      <c r="K249" s="41"/>
    </row>
    <row r="250" spans="1:11" s="38" customFormat="1" ht="12" x14ac:dyDescent="0.2">
      <c r="A250" s="41">
        <v>200</v>
      </c>
      <c r="B250" s="61" t="s">
        <v>12</v>
      </c>
      <c r="C250" s="69">
        <f t="shared" si="97"/>
        <v>242000</v>
      </c>
      <c r="D250" s="69">
        <v>127000</v>
      </c>
      <c r="E250" s="69">
        <v>115000</v>
      </c>
      <c r="F250" s="69">
        <f>170000-170000</f>
        <v>0</v>
      </c>
      <c r="G250" s="69">
        <f>135000-135000</f>
        <v>0</v>
      </c>
      <c r="H250" s="69">
        <f>190000-190000</f>
        <v>0</v>
      </c>
      <c r="I250" s="69">
        <f>150000-150000</f>
        <v>0</v>
      </c>
      <c r="J250" s="54"/>
      <c r="K250" s="41"/>
    </row>
    <row r="251" spans="1:11" s="38" customFormat="1" ht="72" x14ac:dyDescent="0.2">
      <c r="A251" s="41">
        <v>201</v>
      </c>
      <c r="B251" s="61" t="s">
        <v>34</v>
      </c>
      <c r="C251" s="87">
        <f t="shared" si="97"/>
        <v>610</v>
      </c>
      <c r="D251" s="87">
        <f t="shared" ref="D251:I251" si="98">SUM(D252:D254)</f>
        <v>70</v>
      </c>
      <c r="E251" s="87">
        <f t="shared" si="98"/>
        <v>80</v>
      </c>
      <c r="F251" s="87">
        <f t="shared" si="98"/>
        <v>110</v>
      </c>
      <c r="G251" s="57">
        <f t="shared" si="98"/>
        <v>110</v>
      </c>
      <c r="H251" s="87">
        <f t="shared" si="98"/>
        <v>120</v>
      </c>
      <c r="I251" s="87">
        <f t="shared" si="98"/>
        <v>120</v>
      </c>
      <c r="J251" s="54" t="s">
        <v>176</v>
      </c>
      <c r="K251" s="41"/>
    </row>
    <row r="252" spans="1:11" s="38" customFormat="1" ht="12" x14ac:dyDescent="0.2">
      <c r="A252" s="41">
        <v>202</v>
      </c>
      <c r="B252" s="61" t="s">
        <v>10</v>
      </c>
      <c r="C252" s="59">
        <f t="shared" si="97"/>
        <v>0</v>
      </c>
      <c r="D252" s="59"/>
      <c r="E252" s="59"/>
      <c r="F252" s="59"/>
      <c r="G252" s="61"/>
      <c r="H252" s="59"/>
      <c r="I252" s="59"/>
      <c r="J252" s="54"/>
      <c r="K252" s="41"/>
    </row>
    <row r="253" spans="1:11" s="38" customFormat="1" ht="12" x14ac:dyDescent="0.2">
      <c r="A253" s="41">
        <v>203</v>
      </c>
      <c r="B253" s="61" t="s">
        <v>11</v>
      </c>
      <c r="C253" s="59">
        <f t="shared" si="97"/>
        <v>400</v>
      </c>
      <c r="D253" s="59">
        <v>50</v>
      </c>
      <c r="E253" s="59">
        <v>50</v>
      </c>
      <c r="F253" s="59">
        <v>70</v>
      </c>
      <c r="G253" s="61">
        <v>70</v>
      </c>
      <c r="H253" s="59">
        <v>80</v>
      </c>
      <c r="I253" s="59">
        <v>80</v>
      </c>
      <c r="J253" s="54"/>
      <c r="K253" s="41"/>
    </row>
    <row r="254" spans="1:11" s="38" customFormat="1" ht="12" x14ac:dyDescent="0.2">
      <c r="A254" s="41">
        <v>204</v>
      </c>
      <c r="B254" s="61" t="s">
        <v>12</v>
      </c>
      <c r="C254" s="59">
        <f t="shared" si="97"/>
        <v>210</v>
      </c>
      <c r="D254" s="59">
        <v>20</v>
      </c>
      <c r="E254" s="59">
        <v>30</v>
      </c>
      <c r="F254" s="59">
        <v>40</v>
      </c>
      <c r="G254" s="61">
        <v>40</v>
      </c>
      <c r="H254" s="59">
        <v>40</v>
      </c>
      <c r="I254" s="59">
        <v>40</v>
      </c>
      <c r="J254" s="54"/>
      <c r="K254" s="41"/>
    </row>
    <row r="255" spans="1:11" s="38" customFormat="1" ht="36" x14ac:dyDescent="0.2">
      <c r="A255" s="41">
        <v>205</v>
      </c>
      <c r="B255" s="61" t="s">
        <v>35</v>
      </c>
      <c r="C255" s="87">
        <f t="shared" si="97"/>
        <v>685</v>
      </c>
      <c r="D255" s="87">
        <f t="shared" ref="D255:I255" si="99">SUM(D256:D258)</f>
        <v>105</v>
      </c>
      <c r="E255" s="87">
        <f t="shared" si="99"/>
        <v>50</v>
      </c>
      <c r="F255" s="87">
        <f t="shared" si="99"/>
        <v>125</v>
      </c>
      <c r="G255" s="87">
        <f t="shared" si="99"/>
        <v>125</v>
      </c>
      <c r="H255" s="87">
        <f t="shared" si="99"/>
        <v>140</v>
      </c>
      <c r="I255" s="87">
        <f t="shared" si="99"/>
        <v>140</v>
      </c>
      <c r="J255" s="54"/>
      <c r="K255" s="41"/>
    </row>
    <row r="256" spans="1:11" s="38" customFormat="1" ht="12" x14ac:dyDescent="0.2">
      <c r="A256" s="41">
        <v>206</v>
      </c>
      <c r="B256" s="61" t="s">
        <v>10</v>
      </c>
      <c r="C256" s="59">
        <f t="shared" si="97"/>
        <v>0</v>
      </c>
      <c r="D256" s="59"/>
      <c r="E256" s="59"/>
      <c r="F256" s="59"/>
      <c r="G256" s="59"/>
      <c r="H256" s="59"/>
      <c r="I256" s="59"/>
      <c r="J256" s="54" t="s">
        <v>177</v>
      </c>
      <c r="K256" s="41"/>
    </row>
    <row r="257" spans="1:11" s="38" customFormat="1" ht="12" x14ac:dyDescent="0.2">
      <c r="A257" s="41">
        <v>207</v>
      </c>
      <c r="B257" s="61" t="s">
        <v>11</v>
      </c>
      <c r="C257" s="59">
        <f t="shared" si="97"/>
        <v>360</v>
      </c>
      <c r="D257" s="59">
        <v>60</v>
      </c>
      <c r="E257" s="59"/>
      <c r="F257" s="59">
        <v>70</v>
      </c>
      <c r="G257" s="59">
        <v>70</v>
      </c>
      <c r="H257" s="59">
        <v>80</v>
      </c>
      <c r="I257" s="59">
        <v>80</v>
      </c>
      <c r="J257" s="54"/>
      <c r="K257" s="41"/>
    </row>
    <row r="258" spans="1:11" s="38" customFormat="1" ht="12" x14ac:dyDescent="0.2">
      <c r="A258" s="41">
        <v>208</v>
      </c>
      <c r="B258" s="61" t="s">
        <v>12</v>
      </c>
      <c r="C258" s="59">
        <f t="shared" si="97"/>
        <v>325</v>
      </c>
      <c r="D258" s="59">
        <v>45</v>
      </c>
      <c r="E258" s="59">
        <v>50</v>
      </c>
      <c r="F258" s="59">
        <v>55</v>
      </c>
      <c r="G258" s="59">
        <v>55</v>
      </c>
      <c r="H258" s="59">
        <v>60</v>
      </c>
      <c r="I258" s="59">
        <v>60</v>
      </c>
      <c r="J258" s="54"/>
      <c r="K258" s="41"/>
    </row>
    <row r="259" spans="1:11" s="38" customFormat="1" ht="48" x14ac:dyDescent="0.2">
      <c r="A259" s="41">
        <v>209</v>
      </c>
      <c r="B259" s="61" t="s">
        <v>36</v>
      </c>
      <c r="C259" s="87">
        <f t="shared" si="97"/>
        <v>527</v>
      </c>
      <c r="D259" s="87">
        <f t="shared" ref="D259:I259" si="100">SUM(D260:D262)</f>
        <v>67</v>
      </c>
      <c r="E259" s="87">
        <f t="shared" si="100"/>
        <v>35</v>
      </c>
      <c r="F259" s="87">
        <f t="shared" si="100"/>
        <v>85</v>
      </c>
      <c r="G259" s="87">
        <f t="shared" si="100"/>
        <v>100</v>
      </c>
      <c r="H259" s="87">
        <f t="shared" si="100"/>
        <v>110</v>
      </c>
      <c r="I259" s="87">
        <f t="shared" si="100"/>
        <v>130</v>
      </c>
      <c r="J259" s="86"/>
      <c r="K259" s="41"/>
    </row>
    <row r="260" spans="1:11" s="38" customFormat="1" ht="12" x14ac:dyDescent="0.2">
      <c r="A260" s="41">
        <v>210</v>
      </c>
      <c r="B260" s="61" t="s">
        <v>10</v>
      </c>
      <c r="C260" s="59">
        <f t="shared" si="97"/>
        <v>0</v>
      </c>
      <c r="D260" s="59"/>
      <c r="E260" s="59"/>
      <c r="F260" s="59"/>
      <c r="G260" s="59"/>
      <c r="H260" s="59"/>
      <c r="I260" s="59"/>
      <c r="J260" s="54"/>
      <c r="K260" s="41"/>
    </row>
    <row r="261" spans="1:11" s="38" customFormat="1" ht="12" x14ac:dyDescent="0.2">
      <c r="A261" s="41">
        <v>211</v>
      </c>
      <c r="B261" s="61" t="s">
        <v>11</v>
      </c>
      <c r="C261" s="59">
        <f t="shared" si="97"/>
        <v>300</v>
      </c>
      <c r="D261" s="59">
        <v>40</v>
      </c>
      <c r="E261" s="59"/>
      <c r="F261" s="59">
        <v>50</v>
      </c>
      <c r="G261" s="59">
        <v>60</v>
      </c>
      <c r="H261" s="59">
        <v>70</v>
      </c>
      <c r="I261" s="59">
        <v>80</v>
      </c>
      <c r="J261" s="54" t="s">
        <v>177</v>
      </c>
      <c r="K261" s="41"/>
    </row>
    <row r="262" spans="1:11" s="38" customFormat="1" ht="12" x14ac:dyDescent="0.2">
      <c r="A262" s="41">
        <v>212</v>
      </c>
      <c r="B262" s="61" t="s">
        <v>12</v>
      </c>
      <c r="C262" s="59">
        <f t="shared" si="97"/>
        <v>227</v>
      </c>
      <c r="D262" s="59">
        <v>27</v>
      </c>
      <c r="E262" s="59">
        <v>35</v>
      </c>
      <c r="F262" s="59">
        <v>35</v>
      </c>
      <c r="G262" s="59">
        <v>40</v>
      </c>
      <c r="H262" s="59">
        <v>40</v>
      </c>
      <c r="I262" s="59">
        <v>50</v>
      </c>
      <c r="J262" s="54"/>
      <c r="K262" s="41"/>
    </row>
    <row r="263" spans="1:11" s="38" customFormat="1" ht="60" x14ac:dyDescent="0.2">
      <c r="A263" s="41">
        <v>213</v>
      </c>
      <c r="B263" s="61" t="s">
        <v>37</v>
      </c>
      <c r="C263" s="87">
        <f t="shared" si="97"/>
        <v>415</v>
      </c>
      <c r="D263" s="87">
        <f t="shared" ref="D263:I263" si="101">SUM(D264:D266)</f>
        <v>95</v>
      </c>
      <c r="E263" s="87">
        <f t="shared" si="101"/>
        <v>50</v>
      </c>
      <c r="F263" s="87">
        <f t="shared" si="101"/>
        <v>120</v>
      </c>
      <c r="G263" s="87">
        <f t="shared" si="101"/>
        <v>0</v>
      </c>
      <c r="H263" s="87">
        <f t="shared" si="101"/>
        <v>150</v>
      </c>
      <c r="I263" s="87">
        <f t="shared" si="101"/>
        <v>0</v>
      </c>
      <c r="J263" s="54"/>
      <c r="K263" s="41"/>
    </row>
    <row r="264" spans="1:11" s="38" customFormat="1" ht="12" x14ac:dyDescent="0.2">
      <c r="A264" s="41">
        <v>214</v>
      </c>
      <c r="B264" s="61" t="s">
        <v>10</v>
      </c>
      <c r="C264" s="59">
        <f t="shared" si="97"/>
        <v>0</v>
      </c>
      <c r="D264" s="59"/>
      <c r="E264" s="59"/>
      <c r="F264" s="59"/>
      <c r="G264" s="59"/>
      <c r="H264" s="59"/>
      <c r="I264" s="59"/>
      <c r="J264" s="54"/>
      <c r="K264" s="41"/>
    </row>
    <row r="265" spans="1:11" s="38" customFormat="1" ht="12" x14ac:dyDescent="0.2">
      <c r="A265" s="41">
        <v>215</v>
      </c>
      <c r="B265" s="61" t="s">
        <v>11</v>
      </c>
      <c r="C265" s="59">
        <f t="shared" si="97"/>
        <v>290</v>
      </c>
      <c r="D265" s="59">
        <v>60</v>
      </c>
      <c r="E265" s="59">
        <v>50</v>
      </c>
      <c r="F265" s="59">
        <v>80</v>
      </c>
      <c r="G265" s="59"/>
      <c r="H265" s="59">
        <v>100</v>
      </c>
      <c r="I265" s="59"/>
      <c r="J265" s="54"/>
      <c r="K265" s="41"/>
    </row>
    <row r="266" spans="1:11" s="38" customFormat="1" ht="12" x14ac:dyDescent="0.2">
      <c r="A266" s="41">
        <v>216</v>
      </c>
      <c r="B266" s="61" t="s">
        <v>12</v>
      </c>
      <c r="C266" s="59">
        <f t="shared" si="97"/>
        <v>125</v>
      </c>
      <c r="D266" s="59">
        <v>35</v>
      </c>
      <c r="E266" s="59"/>
      <c r="F266" s="59">
        <v>40</v>
      </c>
      <c r="G266" s="59"/>
      <c r="H266" s="59">
        <v>50</v>
      </c>
      <c r="I266" s="59"/>
      <c r="J266" s="54"/>
      <c r="K266" s="41"/>
    </row>
    <row r="267" spans="1:11" s="38" customFormat="1" ht="72" x14ac:dyDescent="0.2">
      <c r="A267" s="41">
        <v>201</v>
      </c>
      <c r="B267" s="65" t="s">
        <v>178</v>
      </c>
      <c r="C267" s="73">
        <f t="shared" si="97"/>
        <v>2850247.71</v>
      </c>
      <c r="D267" s="73">
        <f>SUM(D268:D271)</f>
        <v>0</v>
      </c>
      <c r="E267" s="73">
        <f t="shared" ref="E267:I267" si="102">SUM(E268:E271)</f>
        <v>124583</v>
      </c>
      <c r="F267" s="73">
        <f t="shared" si="102"/>
        <v>471486.33</v>
      </c>
      <c r="G267" s="73">
        <f t="shared" si="102"/>
        <v>2254178.38</v>
      </c>
      <c r="H267" s="73">
        <f t="shared" si="102"/>
        <v>0</v>
      </c>
      <c r="I267" s="73">
        <f t="shared" si="102"/>
        <v>0</v>
      </c>
      <c r="J267" s="84" t="s">
        <v>179</v>
      </c>
      <c r="K267" s="41" t="s">
        <v>149</v>
      </c>
    </row>
    <row r="268" spans="1:11" s="38" customFormat="1" ht="12" x14ac:dyDescent="0.2">
      <c r="A268" s="41">
        <v>202</v>
      </c>
      <c r="B268" s="61" t="s">
        <v>59</v>
      </c>
      <c r="C268" s="69">
        <f t="shared" si="97"/>
        <v>0</v>
      </c>
      <c r="D268" s="69">
        <v>0</v>
      </c>
      <c r="E268" s="69">
        <v>0</v>
      </c>
      <c r="F268" s="69">
        <v>0</v>
      </c>
      <c r="G268" s="69">
        <v>0</v>
      </c>
      <c r="H268" s="69">
        <v>0</v>
      </c>
      <c r="I268" s="69">
        <v>0</v>
      </c>
      <c r="J268" s="54"/>
      <c r="K268" s="41"/>
    </row>
    <row r="269" spans="1:11" s="38" customFormat="1" ht="12" x14ac:dyDescent="0.2">
      <c r="A269" s="41">
        <v>203</v>
      </c>
      <c r="B269" s="61" t="s">
        <v>10</v>
      </c>
      <c r="C269" s="69">
        <f t="shared" si="97"/>
        <v>0</v>
      </c>
      <c r="D269" s="69">
        <f>D273+D277+D281</f>
        <v>0</v>
      </c>
      <c r="E269" s="69">
        <f t="shared" ref="E269:I269" si="103">E273+E277+E281</f>
        <v>0</v>
      </c>
      <c r="F269" s="69">
        <f t="shared" si="103"/>
        <v>0</v>
      </c>
      <c r="G269" s="69">
        <f t="shared" si="103"/>
        <v>0</v>
      </c>
      <c r="H269" s="69">
        <f t="shared" si="103"/>
        <v>0</v>
      </c>
      <c r="I269" s="69">
        <f t="shared" si="103"/>
        <v>0</v>
      </c>
      <c r="J269" s="54"/>
      <c r="K269" s="41"/>
    </row>
    <row r="270" spans="1:11" s="38" customFormat="1" ht="12" x14ac:dyDescent="0.2">
      <c r="A270" s="41">
        <v>204</v>
      </c>
      <c r="B270" s="61" t="s">
        <v>11</v>
      </c>
      <c r="C270" s="69">
        <f t="shared" si="97"/>
        <v>2850247.71</v>
      </c>
      <c r="D270" s="69">
        <f t="shared" ref="D270:I271" si="104">D274+D278+D282</f>
        <v>0</v>
      </c>
      <c r="E270" s="69">
        <f>E274+E278+E282-875417</f>
        <v>124583</v>
      </c>
      <c r="F270" s="69">
        <f>489173-17686.67</f>
        <v>471486.33</v>
      </c>
      <c r="G270" s="77">
        <f>G274+G278+G282-3000000+1995042.12+259136.26</f>
        <v>2254178.38</v>
      </c>
      <c r="H270" s="69">
        <f>H274+H278+H282-1500000</f>
        <v>0</v>
      </c>
      <c r="I270" s="69">
        <f t="shared" si="104"/>
        <v>0</v>
      </c>
      <c r="J270" s="54"/>
      <c r="K270" s="41"/>
    </row>
    <row r="271" spans="1:11" s="38" customFormat="1" ht="12" x14ac:dyDescent="0.2">
      <c r="A271" s="41">
        <v>205</v>
      </c>
      <c r="B271" s="61" t="s">
        <v>12</v>
      </c>
      <c r="C271" s="69">
        <f t="shared" si="97"/>
        <v>0</v>
      </c>
      <c r="D271" s="69">
        <f t="shared" si="104"/>
        <v>0</v>
      </c>
      <c r="E271" s="69">
        <f t="shared" si="104"/>
        <v>0</v>
      </c>
      <c r="F271" s="69">
        <f t="shared" si="104"/>
        <v>0</v>
      </c>
      <c r="G271" s="69">
        <f t="shared" si="104"/>
        <v>0</v>
      </c>
      <c r="H271" s="69">
        <f t="shared" si="104"/>
        <v>0</v>
      </c>
      <c r="I271" s="69">
        <f t="shared" si="104"/>
        <v>0</v>
      </c>
      <c r="J271" s="54"/>
      <c r="K271" s="41"/>
    </row>
    <row r="272" spans="1:11" s="38" customFormat="1" ht="108" x14ac:dyDescent="0.2">
      <c r="A272" s="41">
        <v>199</v>
      </c>
      <c r="B272" s="61" t="s">
        <v>68</v>
      </c>
      <c r="C272" s="69">
        <f t="shared" si="97"/>
        <v>4000000</v>
      </c>
      <c r="D272" s="69">
        <f t="shared" ref="D272:I272" si="105">SUM(D273:D275)</f>
        <v>0</v>
      </c>
      <c r="E272" s="69">
        <f t="shared" si="105"/>
        <v>1000000</v>
      </c>
      <c r="F272" s="69">
        <f t="shared" si="105"/>
        <v>0</v>
      </c>
      <c r="G272" s="69">
        <f t="shared" si="105"/>
        <v>3000000</v>
      </c>
      <c r="H272" s="68">
        <f t="shared" si="105"/>
        <v>0</v>
      </c>
      <c r="I272" s="68">
        <f t="shared" si="105"/>
        <v>0</v>
      </c>
      <c r="J272" s="54" t="s">
        <v>177</v>
      </c>
      <c r="K272" s="41"/>
    </row>
    <row r="273" spans="1:11" s="38" customFormat="1" ht="12" x14ac:dyDescent="0.2">
      <c r="A273" s="41">
        <v>200</v>
      </c>
      <c r="B273" s="61" t="s">
        <v>10</v>
      </c>
      <c r="C273" s="69">
        <f t="shared" si="97"/>
        <v>0</v>
      </c>
      <c r="D273" s="69"/>
      <c r="E273" s="69"/>
      <c r="F273" s="69"/>
      <c r="G273" s="69"/>
      <c r="H273" s="69"/>
      <c r="I273" s="69"/>
      <c r="J273" s="54"/>
      <c r="K273" s="41"/>
    </row>
    <row r="274" spans="1:11" s="38" customFormat="1" ht="12" x14ac:dyDescent="0.2">
      <c r="A274" s="41"/>
      <c r="B274" s="61" t="s">
        <v>11</v>
      </c>
      <c r="C274" s="69">
        <f t="shared" si="97"/>
        <v>4000000</v>
      </c>
      <c r="D274" s="69">
        <f>1000000-1000000</f>
        <v>0</v>
      </c>
      <c r="E274" s="69">
        <v>1000000</v>
      </c>
      <c r="F274" s="69"/>
      <c r="G274" s="69">
        <v>3000000</v>
      </c>
      <c r="H274" s="69"/>
      <c r="I274" s="69"/>
      <c r="J274" s="54"/>
      <c r="K274" s="41"/>
    </row>
    <row r="275" spans="1:11" s="38" customFormat="1" ht="12" x14ac:dyDescent="0.2">
      <c r="A275" s="41"/>
      <c r="B275" s="61" t="s">
        <v>12</v>
      </c>
      <c r="C275" s="69">
        <f t="shared" si="97"/>
        <v>0</v>
      </c>
      <c r="D275" s="69"/>
      <c r="E275" s="69"/>
      <c r="F275" s="69"/>
      <c r="G275" s="69"/>
      <c r="H275" s="69"/>
      <c r="I275" s="69"/>
      <c r="J275" s="54"/>
      <c r="K275" s="41"/>
    </row>
    <row r="276" spans="1:11" s="38" customFormat="1" ht="108" x14ac:dyDescent="0.2">
      <c r="A276" s="41"/>
      <c r="B276" s="61" t="s">
        <v>69</v>
      </c>
      <c r="C276" s="69">
        <f t="shared" si="97"/>
        <v>2000000</v>
      </c>
      <c r="D276" s="69">
        <f t="shared" ref="D276:I276" si="106">SUM(D277:D279)</f>
        <v>0</v>
      </c>
      <c r="E276" s="69">
        <v>1000000</v>
      </c>
      <c r="F276" s="69">
        <v>1000000</v>
      </c>
      <c r="G276" s="68">
        <f t="shared" si="106"/>
        <v>0</v>
      </c>
      <c r="H276" s="68">
        <f t="shared" si="106"/>
        <v>0</v>
      </c>
      <c r="I276" s="68">
        <f t="shared" si="106"/>
        <v>0</v>
      </c>
      <c r="J276" s="54"/>
      <c r="K276" s="41"/>
    </row>
    <row r="277" spans="1:11" s="38" customFormat="1" ht="12" x14ac:dyDescent="0.2">
      <c r="A277" s="41"/>
      <c r="B277" s="61" t="s">
        <v>10</v>
      </c>
      <c r="C277" s="69">
        <f t="shared" si="97"/>
        <v>0</v>
      </c>
      <c r="D277" s="69"/>
      <c r="E277" s="69"/>
      <c r="F277" s="69"/>
      <c r="G277" s="69"/>
      <c r="H277" s="69"/>
      <c r="I277" s="69"/>
      <c r="J277" s="54" t="s">
        <v>177</v>
      </c>
      <c r="K277" s="41"/>
    </row>
    <row r="278" spans="1:11" s="38" customFormat="1" ht="12" x14ac:dyDescent="0.2">
      <c r="A278" s="41"/>
      <c r="B278" s="61" t="s">
        <v>11</v>
      </c>
      <c r="C278" s="69">
        <f t="shared" si="97"/>
        <v>0</v>
      </c>
      <c r="D278" s="69"/>
      <c r="E278" s="69">
        <v>0</v>
      </c>
      <c r="F278" s="69">
        <v>0</v>
      </c>
      <c r="G278" s="69"/>
      <c r="H278" s="69"/>
      <c r="I278" s="69"/>
      <c r="J278" s="54"/>
      <c r="K278" s="41"/>
    </row>
    <row r="279" spans="1:11" s="38" customFormat="1" ht="12" x14ac:dyDescent="0.2">
      <c r="A279" s="41"/>
      <c r="B279" s="61" t="s">
        <v>12</v>
      </c>
      <c r="C279" s="69">
        <f t="shared" si="97"/>
        <v>0</v>
      </c>
      <c r="D279" s="69"/>
      <c r="E279" s="69"/>
      <c r="F279" s="69"/>
      <c r="G279" s="69"/>
      <c r="H279" s="69"/>
      <c r="I279" s="69"/>
      <c r="J279" s="54"/>
      <c r="K279" s="41"/>
    </row>
    <row r="280" spans="1:11" s="38" customFormat="1" ht="108" x14ac:dyDescent="0.2">
      <c r="A280" s="41"/>
      <c r="B280" s="61" t="s">
        <v>70</v>
      </c>
      <c r="C280" s="68">
        <f t="shared" si="97"/>
        <v>1500000</v>
      </c>
      <c r="D280" s="68">
        <f t="shared" ref="D280:I280" si="107">SUM(D281:D283)</f>
        <v>0</v>
      </c>
      <c r="E280" s="68">
        <f t="shared" si="107"/>
        <v>0</v>
      </c>
      <c r="F280" s="68">
        <v>0</v>
      </c>
      <c r="G280" s="68">
        <f t="shared" si="107"/>
        <v>0</v>
      </c>
      <c r="H280" s="68">
        <v>1500000</v>
      </c>
      <c r="I280" s="68">
        <f t="shared" si="107"/>
        <v>0</v>
      </c>
      <c r="J280" s="54"/>
      <c r="K280" s="41"/>
    </row>
    <row r="281" spans="1:11" s="38" customFormat="1" ht="12" x14ac:dyDescent="0.2">
      <c r="A281" s="41"/>
      <c r="B281" s="61" t="s">
        <v>38</v>
      </c>
      <c r="C281" s="69">
        <f t="shared" si="97"/>
        <v>0</v>
      </c>
      <c r="D281" s="69"/>
      <c r="E281" s="69"/>
      <c r="F281" s="69"/>
      <c r="G281" s="69"/>
      <c r="H281" s="69"/>
      <c r="I281" s="69"/>
      <c r="J281" s="54"/>
      <c r="K281" s="41"/>
    </row>
    <row r="282" spans="1:11" s="38" customFormat="1" ht="12" x14ac:dyDescent="0.2">
      <c r="A282" s="41"/>
      <c r="B282" s="61" t="s">
        <v>11</v>
      </c>
      <c r="C282" s="69">
        <f t="shared" si="97"/>
        <v>1500000</v>
      </c>
      <c r="D282" s="69"/>
      <c r="E282" s="69"/>
      <c r="F282" s="69">
        <v>0</v>
      </c>
      <c r="G282" s="69"/>
      <c r="H282" s="69">
        <v>1500000</v>
      </c>
      <c r="I282" s="69"/>
      <c r="J282" s="54"/>
      <c r="K282" s="41"/>
    </row>
    <row r="283" spans="1:11" s="38" customFormat="1" ht="12" x14ac:dyDescent="0.2">
      <c r="A283" s="41"/>
      <c r="B283" s="61" t="s">
        <v>12</v>
      </c>
      <c r="C283" s="69">
        <f t="shared" si="97"/>
        <v>0</v>
      </c>
      <c r="D283" s="69"/>
      <c r="E283" s="69"/>
      <c r="F283" s="69"/>
      <c r="G283" s="69"/>
      <c r="H283" s="69"/>
      <c r="I283" s="69"/>
      <c r="J283" s="54"/>
      <c r="K283" s="41"/>
    </row>
    <row r="284" spans="1:11" s="38" customFormat="1" ht="96" x14ac:dyDescent="0.2">
      <c r="A284" s="41">
        <v>206</v>
      </c>
      <c r="B284" s="65" t="s">
        <v>180</v>
      </c>
      <c r="C284" s="73">
        <f t="shared" si="97"/>
        <v>0</v>
      </c>
      <c r="D284" s="73">
        <f>SUM(D285:D288)</f>
        <v>0</v>
      </c>
      <c r="E284" s="73">
        <f>SUM(E285:E288)</f>
        <v>0</v>
      </c>
      <c r="F284" s="73">
        <f t="shared" ref="F284:I284" si="108">SUM(F285:F288)</f>
        <v>0</v>
      </c>
      <c r="G284" s="73">
        <f t="shared" si="108"/>
        <v>0</v>
      </c>
      <c r="H284" s="73">
        <f t="shared" si="108"/>
        <v>0</v>
      </c>
      <c r="I284" s="73">
        <f t="shared" si="108"/>
        <v>0</v>
      </c>
      <c r="J284" s="84" t="s">
        <v>175</v>
      </c>
      <c r="K284" s="41" t="s">
        <v>149</v>
      </c>
    </row>
    <row r="285" spans="1:11" s="38" customFormat="1" ht="12" x14ac:dyDescent="0.2">
      <c r="A285" s="41">
        <v>207</v>
      </c>
      <c r="B285" s="61" t="s">
        <v>59</v>
      </c>
      <c r="C285" s="69">
        <f t="shared" si="97"/>
        <v>0</v>
      </c>
      <c r="D285" s="69">
        <v>0</v>
      </c>
      <c r="E285" s="69">
        <v>0</v>
      </c>
      <c r="F285" s="69">
        <v>0</v>
      </c>
      <c r="G285" s="69">
        <v>0</v>
      </c>
      <c r="H285" s="69">
        <v>0</v>
      </c>
      <c r="I285" s="69">
        <v>0</v>
      </c>
      <c r="J285" s="88"/>
      <c r="K285" s="41"/>
    </row>
    <row r="286" spans="1:11" s="38" customFormat="1" ht="12" x14ac:dyDescent="0.2">
      <c r="A286" s="41">
        <v>208</v>
      </c>
      <c r="B286" s="61" t="s">
        <v>10</v>
      </c>
      <c r="C286" s="69">
        <f t="shared" si="97"/>
        <v>0</v>
      </c>
      <c r="D286" s="69">
        <v>0</v>
      </c>
      <c r="E286" s="69">
        <v>0</v>
      </c>
      <c r="F286" s="69">
        <v>0</v>
      </c>
      <c r="G286" s="69">
        <v>0</v>
      </c>
      <c r="H286" s="69">
        <v>0</v>
      </c>
      <c r="I286" s="69">
        <v>0</v>
      </c>
      <c r="J286" s="88"/>
      <c r="K286" s="41"/>
    </row>
    <row r="287" spans="1:11" s="38" customFormat="1" ht="12" x14ac:dyDescent="0.2">
      <c r="A287" s="41">
        <v>209</v>
      </c>
      <c r="B287" s="61" t="s">
        <v>11</v>
      </c>
      <c r="C287" s="69">
        <f t="shared" si="97"/>
        <v>0</v>
      </c>
      <c r="D287" s="69">
        <v>0</v>
      </c>
      <c r="E287" s="69">
        <f>20000-20000</f>
        <v>0</v>
      </c>
      <c r="F287" s="69">
        <v>0</v>
      </c>
      <c r="G287" s="69">
        <v>0</v>
      </c>
      <c r="H287" s="69">
        <v>0</v>
      </c>
      <c r="I287" s="69">
        <v>0</v>
      </c>
      <c r="J287" s="88"/>
      <c r="K287" s="41"/>
    </row>
    <row r="288" spans="1:11" s="38" customFormat="1" ht="12" x14ac:dyDescent="0.2">
      <c r="A288" s="41">
        <v>210</v>
      </c>
      <c r="B288" s="61" t="s">
        <v>12</v>
      </c>
      <c r="C288" s="69">
        <f t="shared" si="97"/>
        <v>0</v>
      </c>
      <c r="D288" s="69">
        <v>0</v>
      </c>
      <c r="E288" s="69">
        <v>0</v>
      </c>
      <c r="F288" s="69">
        <v>0</v>
      </c>
      <c r="G288" s="69">
        <v>0</v>
      </c>
      <c r="H288" s="69">
        <v>0</v>
      </c>
      <c r="I288" s="69">
        <v>0</v>
      </c>
      <c r="J288" s="88"/>
      <c r="K288" s="41"/>
    </row>
    <row r="289" spans="1:11" s="38" customFormat="1" ht="84" x14ac:dyDescent="0.2">
      <c r="A289" s="41">
        <v>211</v>
      </c>
      <c r="B289" s="65" t="s">
        <v>181</v>
      </c>
      <c r="C289" s="73">
        <f t="shared" si="97"/>
        <v>914090</v>
      </c>
      <c r="D289" s="73">
        <f t="shared" ref="D289:I289" si="109">SUM(D291:D293)</f>
        <v>500000</v>
      </c>
      <c r="E289" s="73">
        <f t="shared" si="109"/>
        <v>414090</v>
      </c>
      <c r="F289" s="73">
        <f t="shared" si="109"/>
        <v>0</v>
      </c>
      <c r="G289" s="73">
        <f t="shared" si="109"/>
        <v>0</v>
      </c>
      <c r="H289" s="73">
        <f t="shared" si="109"/>
        <v>0</v>
      </c>
      <c r="I289" s="73">
        <f t="shared" si="109"/>
        <v>0</v>
      </c>
      <c r="J289" s="84" t="s">
        <v>175</v>
      </c>
      <c r="K289" s="41" t="s">
        <v>149</v>
      </c>
    </row>
    <row r="290" spans="1:11" s="38" customFormat="1" ht="12" x14ac:dyDescent="0.2">
      <c r="A290" s="41">
        <v>212</v>
      </c>
      <c r="B290" s="61" t="s">
        <v>59</v>
      </c>
      <c r="C290" s="69">
        <f>SUM(D290:I290)</f>
        <v>0</v>
      </c>
      <c r="D290" s="69">
        <v>0</v>
      </c>
      <c r="E290" s="69">
        <v>0</v>
      </c>
      <c r="F290" s="69">
        <v>0</v>
      </c>
      <c r="G290" s="69">
        <v>0</v>
      </c>
      <c r="H290" s="69">
        <v>0</v>
      </c>
      <c r="I290" s="89">
        <v>0</v>
      </c>
      <c r="J290" s="90"/>
      <c r="K290" s="42"/>
    </row>
    <row r="291" spans="1:11" s="38" customFormat="1" ht="12" x14ac:dyDescent="0.2">
      <c r="A291" s="41">
        <v>213</v>
      </c>
      <c r="B291" s="61" t="s">
        <v>10</v>
      </c>
      <c r="C291" s="69">
        <f>SUM(D291:I291)</f>
        <v>284200</v>
      </c>
      <c r="D291" s="69">
        <v>200000</v>
      </c>
      <c r="E291" s="69">
        <v>84200</v>
      </c>
      <c r="F291" s="69">
        <v>0</v>
      </c>
      <c r="G291" s="69">
        <v>0</v>
      </c>
      <c r="H291" s="69">
        <v>0</v>
      </c>
      <c r="I291" s="69">
        <v>0</v>
      </c>
      <c r="J291" s="54"/>
      <c r="K291" s="41"/>
    </row>
    <row r="292" spans="1:11" s="38" customFormat="1" ht="12" x14ac:dyDescent="0.2">
      <c r="A292" s="41">
        <v>214</v>
      </c>
      <c r="B292" s="61" t="s">
        <v>11</v>
      </c>
      <c r="C292" s="69">
        <f>SUM(D292:I292)</f>
        <v>29890</v>
      </c>
      <c r="D292" s="69">
        <v>0</v>
      </c>
      <c r="E292" s="69">
        <f>29890</f>
        <v>29890</v>
      </c>
      <c r="F292" s="69">
        <v>0</v>
      </c>
      <c r="G292" s="69">
        <f>500000-500000</f>
        <v>0</v>
      </c>
      <c r="H292" s="69">
        <f>600000-600000</f>
        <v>0</v>
      </c>
      <c r="I292" s="69">
        <f>600000-600000</f>
        <v>0</v>
      </c>
      <c r="J292" s="54"/>
      <c r="K292" s="41"/>
    </row>
    <row r="293" spans="1:11" s="38" customFormat="1" ht="12" x14ac:dyDescent="0.2">
      <c r="A293" s="41">
        <v>215</v>
      </c>
      <c r="B293" s="61" t="s">
        <v>12</v>
      </c>
      <c r="C293" s="69">
        <f>SUM(D293:I293)</f>
        <v>600000</v>
      </c>
      <c r="D293" s="69">
        <v>300000</v>
      </c>
      <c r="E293" s="69">
        <v>300000</v>
      </c>
      <c r="F293" s="69">
        <f>300000-300000</f>
        <v>0</v>
      </c>
      <c r="G293" s="69">
        <f>400000-400000</f>
        <v>0</v>
      </c>
      <c r="H293" s="69">
        <f>400000-400000</f>
        <v>0</v>
      </c>
      <c r="I293" s="69">
        <f>400000-400000</f>
        <v>0</v>
      </c>
      <c r="J293" s="54"/>
      <c r="K293" s="41"/>
    </row>
    <row r="294" spans="1:11" s="38" customFormat="1" ht="60" x14ac:dyDescent="0.2">
      <c r="A294" s="41">
        <v>216</v>
      </c>
      <c r="B294" s="65" t="s">
        <v>182</v>
      </c>
      <c r="C294" s="73">
        <f t="shared" ref="C294" si="110">SUM(D294:I294)</f>
        <v>856314</v>
      </c>
      <c r="D294" s="73">
        <f t="shared" ref="D294:I294" si="111">SUM(D296:D298)</f>
        <v>0</v>
      </c>
      <c r="E294" s="73">
        <f t="shared" si="111"/>
        <v>0</v>
      </c>
      <c r="F294" s="73">
        <f t="shared" si="111"/>
        <v>856314</v>
      </c>
      <c r="G294" s="73">
        <f t="shared" si="111"/>
        <v>0</v>
      </c>
      <c r="H294" s="73">
        <f t="shared" si="111"/>
        <v>0</v>
      </c>
      <c r="I294" s="73">
        <f t="shared" si="111"/>
        <v>0</v>
      </c>
      <c r="J294" s="84" t="s">
        <v>175</v>
      </c>
      <c r="K294" s="41" t="s">
        <v>149</v>
      </c>
    </row>
    <row r="295" spans="1:11" s="38" customFormat="1" ht="12" x14ac:dyDescent="0.2">
      <c r="A295" s="41">
        <v>217</v>
      </c>
      <c r="B295" s="61" t="s">
        <v>59</v>
      </c>
      <c r="C295" s="69">
        <f>SUM(D295:I295)</f>
        <v>0</v>
      </c>
      <c r="D295" s="69">
        <v>0</v>
      </c>
      <c r="E295" s="69">
        <v>0</v>
      </c>
      <c r="F295" s="69">
        <v>0</v>
      </c>
      <c r="G295" s="69">
        <v>0</v>
      </c>
      <c r="H295" s="69">
        <v>0</v>
      </c>
      <c r="I295" s="69">
        <v>0</v>
      </c>
      <c r="J295" s="54"/>
      <c r="K295" s="41"/>
    </row>
    <row r="296" spans="1:11" s="38" customFormat="1" ht="12" x14ac:dyDescent="0.2">
      <c r="A296" s="41">
        <v>218</v>
      </c>
      <c r="B296" s="61" t="s">
        <v>10</v>
      </c>
      <c r="C296" s="69">
        <f>SUM(D296:I296)</f>
        <v>428156</v>
      </c>
      <c r="D296" s="69">
        <v>0</v>
      </c>
      <c r="E296" s="69">
        <v>0</v>
      </c>
      <c r="F296" s="69">
        <v>428156</v>
      </c>
      <c r="G296" s="69">
        <v>0</v>
      </c>
      <c r="H296" s="69">
        <v>0</v>
      </c>
      <c r="I296" s="69">
        <v>0</v>
      </c>
      <c r="J296" s="54"/>
      <c r="K296" s="41"/>
    </row>
    <row r="297" spans="1:11" s="38" customFormat="1" ht="12" x14ac:dyDescent="0.2">
      <c r="A297" s="41">
        <v>219</v>
      </c>
      <c r="B297" s="61" t="s">
        <v>11</v>
      </c>
      <c r="C297" s="69">
        <f>SUM(D297:I297)</f>
        <v>299710</v>
      </c>
      <c r="D297" s="69">
        <v>0</v>
      </c>
      <c r="E297" s="69">
        <v>0</v>
      </c>
      <c r="F297" s="69">
        <v>299710</v>
      </c>
      <c r="G297" s="69">
        <v>0</v>
      </c>
      <c r="H297" s="69">
        <v>0</v>
      </c>
      <c r="I297" s="69">
        <v>0</v>
      </c>
      <c r="J297" s="54"/>
      <c r="K297" s="41"/>
    </row>
    <row r="298" spans="1:11" s="38" customFormat="1" ht="12" x14ac:dyDescent="0.2">
      <c r="A298" s="41">
        <v>220</v>
      </c>
      <c r="B298" s="61" t="s">
        <v>12</v>
      </c>
      <c r="C298" s="69">
        <f>SUM(D298:I298)</f>
        <v>128448</v>
      </c>
      <c r="D298" s="69">
        <v>0</v>
      </c>
      <c r="E298" s="69">
        <v>0</v>
      </c>
      <c r="F298" s="69">
        <v>128448</v>
      </c>
      <c r="G298" s="69">
        <v>0</v>
      </c>
      <c r="H298" s="69">
        <v>0</v>
      </c>
      <c r="I298" s="69">
        <v>0</v>
      </c>
      <c r="J298" s="54"/>
      <c r="K298" s="41"/>
    </row>
    <row r="299" spans="1:11" s="38" customFormat="1" ht="12" x14ac:dyDescent="0.2">
      <c r="A299" s="41">
        <v>221</v>
      </c>
      <c r="B299" s="215" t="s">
        <v>39</v>
      </c>
      <c r="C299" s="216"/>
      <c r="D299" s="216"/>
      <c r="E299" s="216"/>
      <c r="F299" s="216"/>
      <c r="G299" s="216"/>
      <c r="H299" s="216"/>
      <c r="I299" s="216"/>
      <c r="J299" s="217"/>
      <c r="K299" s="41"/>
    </row>
    <row r="300" spans="1:11" s="38" customFormat="1" ht="12" x14ac:dyDescent="0.2">
      <c r="A300" s="41">
        <v>222</v>
      </c>
      <c r="B300" s="57" t="s">
        <v>40</v>
      </c>
      <c r="C300" s="68">
        <f>SUM(D300:I300)</f>
        <v>429004</v>
      </c>
      <c r="D300" s="68">
        <f>SUM(D301:D304)</f>
        <v>50000</v>
      </c>
      <c r="E300" s="68">
        <f t="shared" ref="E300:I300" si="112">SUM(E301:E304)</f>
        <v>50000</v>
      </c>
      <c r="F300" s="68">
        <f t="shared" si="112"/>
        <v>55000</v>
      </c>
      <c r="G300" s="68">
        <f t="shared" si="112"/>
        <v>154004</v>
      </c>
      <c r="H300" s="68">
        <f t="shared" si="112"/>
        <v>120000</v>
      </c>
      <c r="I300" s="68">
        <f t="shared" si="112"/>
        <v>0</v>
      </c>
      <c r="J300" s="54"/>
      <c r="K300" s="41"/>
    </row>
    <row r="301" spans="1:11" s="38" customFormat="1" ht="12" x14ac:dyDescent="0.2">
      <c r="A301" s="41">
        <v>223</v>
      </c>
      <c r="B301" s="61" t="s">
        <v>59</v>
      </c>
      <c r="C301" s="68"/>
      <c r="D301" s="69">
        <f t="shared" ref="D301:I304" si="113">D307+D325</f>
        <v>0</v>
      </c>
      <c r="E301" s="69">
        <f t="shared" si="113"/>
        <v>0</v>
      </c>
      <c r="F301" s="69">
        <f t="shared" si="113"/>
        <v>0</v>
      </c>
      <c r="G301" s="69">
        <f t="shared" si="113"/>
        <v>0</v>
      </c>
      <c r="H301" s="69">
        <f t="shared" si="113"/>
        <v>0</v>
      </c>
      <c r="I301" s="69">
        <f t="shared" si="113"/>
        <v>0</v>
      </c>
      <c r="J301" s="54"/>
      <c r="K301" s="41"/>
    </row>
    <row r="302" spans="1:11" s="38" customFormat="1" ht="12" x14ac:dyDescent="0.2">
      <c r="A302" s="41">
        <v>224</v>
      </c>
      <c r="B302" s="61" t="s">
        <v>10</v>
      </c>
      <c r="C302" s="69">
        <f>SUM(D302:I302)</f>
        <v>54004</v>
      </c>
      <c r="D302" s="69">
        <f t="shared" si="113"/>
        <v>0</v>
      </c>
      <c r="E302" s="69">
        <f t="shared" si="113"/>
        <v>0</v>
      </c>
      <c r="F302" s="69">
        <f t="shared" si="113"/>
        <v>0</v>
      </c>
      <c r="G302" s="69">
        <f t="shared" si="113"/>
        <v>54004</v>
      </c>
      <c r="H302" s="69">
        <f t="shared" si="113"/>
        <v>0</v>
      </c>
      <c r="I302" s="69">
        <f t="shared" si="113"/>
        <v>0</v>
      </c>
      <c r="J302" s="54"/>
      <c r="K302" s="41"/>
    </row>
    <row r="303" spans="1:11" s="38" customFormat="1" ht="12" x14ac:dyDescent="0.2">
      <c r="A303" s="41">
        <v>225</v>
      </c>
      <c r="B303" s="61" t="s">
        <v>11</v>
      </c>
      <c r="C303" s="69">
        <f>SUM(D303:I303)</f>
        <v>375000</v>
      </c>
      <c r="D303" s="69">
        <f t="shared" si="113"/>
        <v>50000</v>
      </c>
      <c r="E303" s="69">
        <f t="shared" si="113"/>
        <v>50000</v>
      </c>
      <c r="F303" s="69">
        <f t="shared" si="113"/>
        <v>55000</v>
      </c>
      <c r="G303" s="69">
        <f t="shared" si="113"/>
        <v>100000</v>
      </c>
      <c r="H303" s="69">
        <f t="shared" si="113"/>
        <v>120000</v>
      </c>
      <c r="I303" s="69">
        <f t="shared" si="113"/>
        <v>0</v>
      </c>
      <c r="J303" s="54"/>
      <c r="K303" s="41"/>
    </row>
    <row r="304" spans="1:11" s="38" customFormat="1" ht="12" x14ac:dyDescent="0.2">
      <c r="A304" s="41">
        <v>226</v>
      </c>
      <c r="B304" s="61" t="s">
        <v>12</v>
      </c>
      <c r="C304" s="69">
        <f>SUM(D304:I304)</f>
        <v>0</v>
      </c>
      <c r="D304" s="69">
        <f t="shared" si="113"/>
        <v>0</v>
      </c>
      <c r="E304" s="69">
        <f t="shared" si="113"/>
        <v>0</v>
      </c>
      <c r="F304" s="69">
        <f t="shared" si="113"/>
        <v>0</v>
      </c>
      <c r="G304" s="69">
        <f t="shared" si="113"/>
        <v>0</v>
      </c>
      <c r="H304" s="69">
        <f t="shared" si="113"/>
        <v>0</v>
      </c>
      <c r="I304" s="69">
        <f t="shared" si="113"/>
        <v>0</v>
      </c>
      <c r="J304" s="54"/>
      <c r="K304" s="41"/>
    </row>
    <row r="305" spans="1:11" s="38" customFormat="1" ht="12" x14ac:dyDescent="0.2">
      <c r="A305" s="41">
        <v>227</v>
      </c>
      <c r="B305" s="221" t="s">
        <v>60</v>
      </c>
      <c r="C305" s="222"/>
      <c r="D305" s="222"/>
      <c r="E305" s="222"/>
      <c r="F305" s="222"/>
      <c r="G305" s="222"/>
      <c r="H305" s="222"/>
      <c r="I305" s="222"/>
      <c r="J305" s="223"/>
      <c r="K305" s="41"/>
    </row>
    <row r="306" spans="1:11" s="38" customFormat="1" ht="36" x14ac:dyDescent="0.2">
      <c r="A306" s="41">
        <v>228</v>
      </c>
      <c r="B306" s="82" t="s">
        <v>62</v>
      </c>
      <c r="C306" s="68">
        <f>SUM(D306:I306)</f>
        <v>0</v>
      </c>
      <c r="D306" s="68">
        <f>SUM(D307:D310)</f>
        <v>0</v>
      </c>
      <c r="E306" s="68">
        <f t="shared" ref="E306:I306" si="114">SUM(E307:E310)</f>
        <v>0</v>
      </c>
      <c r="F306" s="68">
        <f t="shared" si="114"/>
        <v>0</v>
      </c>
      <c r="G306" s="68">
        <f t="shared" si="114"/>
        <v>0</v>
      </c>
      <c r="H306" s="68">
        <f t="shared" si="114"/>
        <v>0</v>
      </c>
      <c r="I306" s="68">
        <f t="shared" si="114"/>
        <v>0</v>
      </c>
      <c r="J306" s="54"/>
      <c r="K306" s="41"/>
    </row>
    <row r="307" spans="1:11" s="38" customFormat="1" ht="12" x14ac:dyDescent="0.2">
      <c r="A307" s="41">
        <v>229</v>
      </c>
      <c r="B307" s="61" t="s">
        <v>59</v>
      </c>
      <c r="C307" s="69">
        <f>SUM(D307:I307)</f>
        <v>0</v>
      </c>
      <c r="D307" s="69">
        <f>D313+D319</f>
        <v>0</v>
      </c>
      <c r="E307" s="69">
        <f t="shared" ref="E307:I307" si="115">E313+E319</f>
        <v>0</v>
      </c>
      <c r="F307" s="69">
        <f t="shared" si="115"/>
        <v>0</v>
      </c>
      <c r="G307" s="69">
        <f t="shared" si="115"/>
        <v>0</v>
      </c>
      <c r="H307" s="69">
        <f t="shared" si="115"/>
        <v>0</v>
      </c>
      <c r="I307" s="69">
        <f t="shared" si="115"/>
        <v>0</v>
      </c>
      <c r="J307" s="54"/>
      <c r="K307" s="41"/>
    </row>
    <row r="308" spans="1:11" s="38" customFormat="1" ht="12" x14ac:dyDescent="0.2">
      <c r="A308" s="41">
        <v>230</v>
      </c>
      <c r="B308" s="83" t="s">
        <v>10</v>
      </c>
      <c r="C308" s="69">
        <f>SUM(D308:I308)</f>
        <v>0</v>
      </c>
      <c r="D308" s="69">
        <f t="shared" ref="D308:I310" si="116">D314+D320</f>
        <v>0</v>
      </c>
      <c r="E308" s="69">
        <f t="shared" si="116"/>
        <v>0</v>
      </c>
      <c r="F308" s="69">
        <f t="shared" si="116"/>
        <v>0</v>
      </c>
      <c r="G308" s="69">
        <f t="shared" si="116"/>
        <v>0</v>
      </c>
      <c r="H308" s="69">
        <f t="shared" si="116"/>
        <v>0</v>
      </c>
      <c r="I308" s="69">
        <f t="shared" si="116"/>
        <v>0</v>
      </c>
      <c r="J308" s="54"/>
      <c r="K308" s="41"/>
    </row>
    <row r="309" spans="1:11" s="38" customFormat="1" ht="12" x14ac:dyDescent="0.2">
      <c r="A309" s="41">
        <v>231</v>
      </c>
      <c r="B309" s="83" t="s">
        <v>11</v>
      </c>
      <c r="C309" s="69">
        <f>SUM(D309:I309)</f>
        <v>0</v>
      </c>
      <c r="D309" s="69">
        <f t="shared" si="116"/>
        <v>0</v>
      </c>
      <c r="E309" s="69">
        <f t="shared" si="116"/>
        <v>0</v>
      </c>
      <c r="F309" s="69">
        <f t="shared" si="116"/>
        <v>0</v>
      </c>
      <c r="G309" s="69">
        <f t="shared" si="116"/>
        <v>0</v>
      </c>
      <c r="H309" s="69">
        <f t="shared" si="116"/>
        <v>0</v>
      </c>
      <c r="I309" s="69">
        <f t="shared" si="116"/>
        <v>0</v>
      </c>
      <c r="J309" s="54"/>
      <c r="K309" s="41"/>
    </row>
    <row r="310" spans="1:11" s="38" customFormat="1" ht="12" x14ac:dyDescent="0.2">
      <c r="A310" s="41">
        <v>232</v>
      </c>
      <c r="B310" s="83" t="s">
        <v>12</v>
      </c>
      <c r="C310" s="69">
        <f>SUM(D310:I310)</f>
        <v>0</v>
      </c>
      <c r="D310" s="69">
        <f t="shared" si="116"/>
        <v>0</v>
      </c>
      <c r="E310" s="69">
        <f t="shared" si="116"/>
        <v>0</v>
      </c>
      <c r="F310" s="69">
        <f t="shared" si="116"/>
        <v>0</v>
      </c>
      <c r="G310" s="69">
        <f t="shared" si="116"/>
        <v>0</v>
      </c>
      <c r="H310" s="69">
        <f t="shared" si="116"/>
        <v>0</v>
      </c>
      <c r="I310" s="69">
        <f t="shared" si="116"/>
        <v>0</v>
      </c>
      <c r="J310" s="54"/>
      <c r="K310" s="41"/>
    </row>
    <row r="311" spans="1:11" s="38" customFormat="1" ht="12" x14ac:dyDescent="0.2">
      <c r="A311" s="41">
        <v>233</v>
      </c>
      <c r="B311" s="221" t="s">
        <v>145</v>
      </c>
      <c r="C311" s="222"/>
      <c r="D311" s="222"/>
      <c r="E311" s="222"/>
      <c r="F311" s="222"/>
      <c r="G311" s="222"/>
      <c r="H311" s="222"/>
      <c r="I311" s="222"/>
      <c r="J311" s="223"/>
      <c r="K311" s="41"/>
    </row>
    <row r="312" spans="1:11" s="38" customFormat="1" ht="36" x14ac:dyDescent="0.2">
      <c r="A312" s="41">
        <v>234</v>
      </c>
      <c r="B312" s="71" t="s">
        <v>146</v>
      </c>
      <c r="C312" s="68">
        <f>SUM(D312:I312)</f>
        <v>0</v>
      </c>
      <c r="D312" s="68">
        <f>SUM(D313:D316)</f>
        <v>0</v>
      </c>
      <c r="E312" s="68">
        <f t="shared" ref="E312:I312" si="117">SUM(E313:E316)</f>
        <v>0</v>
      </c>
      <c r="F312" s="68">
        <f t="shared" si="117"/>
        <v>0</v>
      </c>
      <c r="G312" s="68">
        <f t="shared" si="117"/>
        <v>0</v>
      </c>
      <c r="H312" s="68">
        <f t="shared" si="117"/>
        <v>0</v>
      </c>
      <c r="I312" s="68">
        <f t="shared" si="117"/>
        <v>0</v>
      </c>
      <c r="J312" s="54"/>
      <c r="K312" s="41"/>
    </row>
    <row r="313" spans="1:11" s="38" customFormat="1" ht="12" x14ac:dyDescent="0.2">
      <c r="A313" s="41">
        <v>235</v>
      </c>
      <c r="B313" s="71" t="s">
        <v>59</v>
      </c>
      <c r="C313" s="69">
        <f t="shared" ref="C313:C316" si="118">SUM(D313:I313)</f>
        <v>0</v>
      </c>
      <c r="D313" s="69">
        <v>0</v>
      </c>
      <c r="E313" s="69">
        <v>0</v>
      </c>
      <c r="F313" s="69">
        <v>0</v>
      </c>
      <c r="G313" s="69">
        <v>0</v>
      </c>
      <c r="H313" s="69">
        <v>0</v>
      </c>
      <c r="I313" s="69">
        <v>0</v>
      </c>
      <c r="J313" s="54"/>
      <c r="K313" s="41"/>
    </row>
    <row r="314" spans="1:11" s="38" customFormat="1" ht="12" x14ac:dyDescent="0.2">
      <c r="A314" s="41">
        <v>236</v>
      </c>
      <c r="B314" s="71" t="s">
        <v>10</v>
      </c>
      <c r="C314" s="69">
        <f t="shared" si="118"/>
        <v>0</v>
      </c>
      <c r="D314" s="69">
        <v>0</v>
      </c>
      <c r="E314" s="69">
        <v>0</v>
      </c>
      <c r="F314" s="69">
        <v>0</v>
      </c>
      <c r="G314" s="69">
        <v>0</v>
      </c>
      <c r="H314" s="69">
        <v>0</v>
      </c>
      <c r="I314" s="69">
        <v>0</v>
      </c>
      <c r="J314" s="54"/>
      <c r="K314" s="41"/>
    </row>
    <row r="315" spans="1:11" s="38" customFormat="1" ht="12" x14ac:dyDescent="0.2">
      <c r="A315" s="41">
        <v>237</v>
      </c>
      <c r="B315" s="71" t="s">
        <v>11</v>
      </c>
      <c r="C315" s="69">
        <f t="shared" si="118"/>
        <v>0</v>
      </c>
      <c r="D315" s="69">
        <v>0</v>
      </c>
      <c r="E315" s="69">
        <v>0</v>
      </c>
      <c r="F315" s="69">
        <v>0</v>
      </c>
      <c r="G315" s="69">
        <v>0</v>
      </c>
      <c r="H315" s="69">
        <v>0</v>
      </c>
      <c r="I315" s="69">
        <v>0</v>
      </c>
      <c r="J315" s="54"/>
      <c r="K315" s="41"/>
    </row>
    <row r="316" spans="1:11" s="38" customFormat="1" ht="12" x14ac:dyDescent="0.2">
      <c r="A316" s="41">
        <v>238</v>
      </c>
      <c r="B316" s="71" t="s">
        <v>12</v>
      </c>
      <c r="C316" s="69">
        <f t="shared" si="118"/>
        <v>0</v>
      </c>
      <c r="D316" s="69">
        <v>0</v>
      </c>
      <c r="E316" s="69">
        <v>0</v>
      </c>
      <c r="F316" s="69">
        <v>0</v>
      </c>
      <c r="G316" s="69">
        <v>0</v>
      </c>
      <c r="H316" s="69">
        <v>0</v>
      </c>
      <c r="I316" s="69">
        <v>0</v>
      </c>
      <c r="J316" s="54"/>
      <c r="K316" s="41"/>
    </row>
    <row r="317" spans="1:11" s="38" customFormat="1" ht="12" x14ac:dyDescent="0.2">
      <c r="A317" s="41">
        <v>239</v>
      </c>
      <c r="B317" s="218" t="s">
        <v>151</v>
      </c>
      <c r="C317" s="219"/>
      <c r="D317" s="219"/>
      <c r="E317" s="219"/>
      <c r="F317" s="219"/>
      <c r="G317" s="219"/>
      <c r="H317" s="219"/>
      <c r="I317" s="219"/>
      <c r="J317" s="220"/>
      <c r="K317" s="41"/>
    </row>
    <row r="318" spans="1:11" s="38" customFormat="1" ht="24" x14ac:dyDescent="0.2">
      <c r="A318" s="41">
        <v>240</v>
      </c>
      <c r="B318" s="71" t="s">
        <v>152</v>
      </c>
      <c r="C318" s="68">
        <f>SUM(D318:I318)</f>
        <v>0</v>
      </c>
      <c r="D318" s="68">
        <f>SUM(D319:D322)</f>
        <v>0</v>
      </c>
      <c r="E318" s="68">
        <f t="shared" ref="E318:I318" si="119">SUM(E319:E322)</f>
        <v>0</v>
      </c>
      <c r="F318" s="68">
        <f t="shared" si="119"/>
        <v>0</v>
      </c>
      <c r="G318" s="68">
        <f t="shared" si="119"/>
        <v>0</v>
      </c>
      <c r="H318" s="68">
        <f t="shared" si="119"/>
        <v>0</v>
      </c>
      <c r="I318" s="68">
        <f t="shared" si="119"/>
        <v>0</v>
      </c>
      <c r="J318" s="54"/>
      <c r="K318" s="41"/>
    </row>
    <row r="319" spans="1:11" s="38" customFormat="1" ht="12" x14ac:dyDescent="0.2">
      <c r="A319" s="41">
        <v>241</v>
      </c>
      <c r="B319" s="71" t="s">
        <v>59</v>
      </c>
      <c r="C319" s="69">
        <f t="shared" ref="C319:C322" si="120">SUM(D319:I319)</f>
        <v>0</v>
      </c>
      <c r="D319" s="69">
        <v>0</v>
      </c>
      <c r="E319" s="69">
        <v>0</v>
      </c>
      <c r="F319" s="69">
        <v>0</v>
      </c>
      <c r="G319" s="69">
        <v>0</v>
      </c>
      <c r="H319" s="69">
        <v>0</v>
      </c>
      <c r="I319" s="69">
        <v>0</v>
      </c>
      <c r="J319" s="54"/>
      <c r="K319" s="41"/>
    </row>
    <row r="320" spans="1:11" s="38" customFormat="1" ht="12" x14ac:dyDescent="0.2">
      <c r="A320" s="41">
        <v>242</v>
      </c>
      <c r="B320" s="71" t="s">
        <v>10</v>
      </c>
      <c r="C320" s="69">
        <f t="shared" si="120"/>
        <v>0</v>
      </c>
      <c r="D320" s="69">
        <v>0</v>
      </c>
      <c r="E320" s="69">
        <v>0</v>
      </c>
      <c r="F320" s="69">
        <v>0</v>
      </c>
      <c r="G320" s="69">
        <v>0</v>
      </c>
      <c r="H320" s="69">
        <v>0</v>
      </c>
      <c r="I320" s="69">
        <v>0</v>
      </c>
      <c r="J320" s="54"/>
      <c r="K320" s="41"/>
    </row>
    <row r="321" spans="1:11" s="38" customFormat="1" ht="12" x14ac:dyDescent="0.2">
      <c r="A321" s="41">
        <v>243</v>
      </c>
      <c r="B321" s="71" t="s">
        <v>11</v>
      </c>
      <c r="C321" s="69">
        <f t="shared" si="120"/>
        <v>0</v>
      </c>
      <c r="D321" s="69">
        <v>0</v>
      </c>
      <c r="E321" s="69">
        <v>0</v>
      </c>
      <c r="F321" s="69">
        <v>0</v>
      </c>
      <c r="G321" s="69">
        <v>0</v>
      </c>
      <c r="H321" s="69">
        <v>0</v>
      </c>
      <c r="I321" s="69">
        <v>0</v>
      </c>
      <c r="J321" s="54"/>
      <c r="K321" s="41"/>
    </row>
    <row r="322" spans="1:11" s="38" customFormat="1" ht="12" x14ac:dyDescent="0.2">
      <c r="A322" s="41">
        <v>244</v>
      </c>
      <c r="B322" s="71" t="s">
        <v>12</v>
      </c>
      <c r="C322" s="69">
        <f t="shared" si="120"/>
        <v>0</v>
      </c>
      <c r="D322" s="69">
        <v>0</v>
      </c>
      <c r="E322" s="69">
        <v>0</v>
      </c>
      <c r="F322" s="69">
        <v>0</v>
      </c>
      <c r="G322" s="69">
        <v>0</v>
      </c>
      <c r="H322" s="69">
        <v>0</v>
      </c>
      <c r="I322" s="69">
        <v>0</v>
      </c>
      <c r="J322" s="54"/>
      <c r="K322" s="41"/>
    </row>
    <row r="323" spans="1:11" s="38" customFormat="1" ht="12" x14ac:dyDescent="0.2">
      <c r="A323" s="41">
        <v>245</v>
      </c>
      <c r="B323" s="225" t="s">
        <v>22</v>
      </c>
      <c r="C323" s="225"/>
      <c r="D323" s="225"/>
      <c r="E323" s="225"/>
      <c r="F323" s="225"/>
      <c r="G323" s="225"/>
      <c r="H323" s="225"/>
      <c r="I323" s="225"/>
      <c r="J323" s="225"/>
      <c r="K323" s="41"/>
    </row>
    <row r="324" spans="1:11" s="38" customFormat="1" ht="24" x14ac:dyDescent="0.2">
      <c r="A324" s="41">
        <v>246</v>
      </c>
      <c r="B324" s="57" t="s">
        <v>23</v>
      </c>
      <c r="C324" s="68">
        <f t="shared" ref="C324:C328" si="121">SUM(D324:I324)</f>
        <v>429004</v>
      </c>
      <c r="D324" s="68">
        <f>SUM(D325:D328)</f>
        <v>50000</v>
      </c>
      <c r="E324" s="68">
        <f t="shared" ref="E324:I324" si="122">SUM(E325:E328)</f>
        <v>50000</v>
      </c>
      <c r="F324" s="68">
        <f t="shared" si="122"/>
        <v>55000</v>
      </c>
      <c r="G324" s="68">
        <f t="shared" si="122"/>
        <v>154004</v>
      </c>
      <c r="H324" s="68">
        <f t="shared" si="122"/>
        <v>120000</v>
      </c>
      <c r="I324" s="68">
        <f t="shared" si="122"/>
        <v>0</v>
      </c>
      <c r="J324" s="54"/>
      <c r="K324" s="41"/>
    </row>
    <row r="325" spans="1:11" s="38" customFormat="1" ht="12" x14ac:dyDescent="0.2">
      <c r="A325" s="41">
        <v>247</v>
      </c>
      <c r="B325" s="61" t="s">
        <v>59</v>
      </c>
      <c r="C325" s="69">
        <f t="shared" si="121"/>
        <v>0</v>
      </c>
      <c r="D325" s="69">
        <f t="shared" ref="D325:I327" si="123">D330+D343+D348+D353+D358</f>
        <v>0</v>
      </c>
      <c r="E325" s="69">
        <f t="shared" si="123"/>
        <v>0</v>
      </c>
      <c r="F325" s="69">
        <f t="shared" si="123"/>
        <v>0</v>
      </c>
      <c r="G325" s="69">
        <f t="shared" si="123"/>
        <v>0</v>
      </c>
      <c r="H325" s="69">
        <f t="shared" si="123"/>
        <v>0</v>
      </c>
      <c r="I325" s="69">
        <f t="shared" si="123"/>
        <v>0</v>
      </c>
      <c r="J325" s="54"/>
      <c r="K325" s="41"/>
    </row>
    <row r="326" spans="1:11" s="38" customFormat="1" ht="12" x14ac:dyDescent="0.2">
      <c r="A326" s="41">
        <v>248</v>
      </c>
      <c r="B326" s="61" t="s">
        <v>10</v>
      </c>
      <c r="C326" s="69">
        <f t="shared" si="121"/>
        <v>54004</v>
      </c>
      <c r="D326" s="69">
        <f t="shared" si="123"/>
        <v>0</v>
      </c>
      <c r="E326" s="69">
        <f t="shared" si="123"/>
        <v>0</v>
      </c>
      <c r="F326" s="69">
        <f t="shared" si="123"/>
        <v>0</v>
      </c>
      <c r="G326" s="69">
        <f t="shared" si="123"/>
        <v>54004</v>
      </c>
      <c r="H326" s="69">
        <f t="shared" si="123"/>
        <v>0</v>
      </c>
      <c r="I326" s="69">
        <f t="shared" si="123"/>
        <v>0</v>
      </c>
      <c r="J326" s="54"/>
      <c r="K326" s="41"/>
    </row>
    <row r="327" spans="1:11" s="38" customFormat="1" ht="12" x14ac:dyDescent="0.2">
      <c r="A327" s="41">
        <v>249</v>
      </c>
      <c r="B327" s="61" t="s">
        <v>11</v>
      </c>
      <c r="C327" s="69">
        <f t="shared" si="121"/>
        <v>375000</v>
      </c>
      <c r="D327" s="69">
        <f>D332+D345+D350+D355+D360</f>
        <v>50000</v>
      </c>
      <c r="E327" s="69">
        <f t="shared" si="123"/>
        <v>50000</v>
      </c>
      <c r="F327" s="69">
        <f t="shared" si="123"/>
        <v>55000</v>
      </c>
      <c r="G327" s="69">
        <f t="shared" si="123"/>
        <v>100000</v>
      </c>
      <c r="H327" s="69">
        <f t="shared" si="123"/>
        <v>120000</v>
      </c>
      <c r="I327" s="69">
        <f t="shared" si="123"/>
        <v>0</v>
      </c>
      <c r="J327" s="54"/>
      <c r="K327" s="41"/>
    </row>
    <row r="328" spans="1:11" s="38" customFormat="1" ht="12" x14ac:dyDescent="0.2">
      <c r="A328" s="41">
        <v>250</v>
      </c>
      <c r="B328" s="61" t="s">
        <v>12</v>
      </c>
      <c r="C328" s="69">
        <f t="shared" si="121"/>
        <v>0</v>
      </c>
      <c r="D328" s="69">
        <f t="shared" ref="D328:I328" si="124">D333+D346+D351+D356+D361</f>
        <v>0</v>
      </c>
      <c r="E328" s="69">
        <f t="shared" si="124"/>
        <v>0</v>
      </c>
      <c r="F328" s="69">
        <f t="shared" si="124"/>
        <v>0</v>
      </c>
      <c r="G328" s="69">
        <f t="shared" si="124"/>
        <v>0</v>
      </c>
      <c r="H328" s="69">
        <f t="shared" si="124"/>
        <v>0</v>
      </c>
      <c r="I328" s="69">
        <f t="shared" si="124"/>
        <v>0</v>
      </c>
      <c r="J328" s="54"/>
      <c r="K328" s="41"/>
    </row>
    <row r="329" spans="1:11" s="38" customFormat="1" ht="96" x14ac:dyDescent="0.2">
      <c r="A329" s="41">
        <v>251</v>
      </c>
      <c r="B329" s="65" t="s">
        <v>183</v>
      </c>
      <c r="C329" s="73">
        <f t="shared" ref="C329" si="125">SUM(D329:I329)</f>
        <v>254004</v>
      </c>
      <c r="D329" s="73">
        <f>SUM(D330:D333)</f>
        <v>50000</v>
      </c>
      <c r="E329" s="73">
        <f t="shared" ref="E329:I329" si="126">SUM(E330:E333)</f>
        <v>0</v>
      </c>
      <c r="F329" s="73">
        <f t="shared" si="126"/>
        <v>0</v>
      </c>
      <c r="G329" s="73">
        <f t="shared" si="126"/>
        <v>154004</v>
      </c>
      <c r="H329" s="73">
        <f t="shared" si="126"/>
        <v>50000</v>
      </c>
      <c r="I329" s="73">
        <f t="shared" si="126"/>
        <v>0</v>
      </c>
      <c r="J329" s="54" t="s">
        <v>184</v>
      </c>
      <c r="K329" s="41" t="s">
        <v>149</v>
      </c>
    </row>
    <row r="330" spans="1:11" s="38" customFormat="1" ht="12" x14ac:dyDescent="0.2">
      <c r="A330" s="41">
        <v>252</v>
      </c>
      <c r="B330" s="61" t="s">
        <v>59</v>
      </c>
      <c r="C330" s="61">
        <f t="shared" ref="C330:C361" si="127">SUM(D330:I330)</f>
        <v>0</v>
      </c>
      <c r="D330" s="61">
        <v>0</v>
      </c>
      <c r="E330" s="61">
        <v>0</v>
      </c>
      <c r="F330" s="61">
        <v>0</v>
      </c>
      <c r="G330" s="61">
        <v>0</v>
      </c>
      <c r="H330" s="61">
        <v>0</v>
      </c>
      <c r="I330" s="61">
        <v>0</v>
      </c>
      <c r="J330" s="54"/>
      <c r="K330" s="41"/>
    </row>
    <row r="331" spans="1:11" s="38" customFormat="1" ht="12" x14ac:dyDescent="0.2">
      <c r="A331" s="41">
        <v>253</v>
      </c>
      <c r="B331" s="61" t="s">
        <v>10</v>
      </c>
      <c r="C331" s="61">
        <f t="shared" si="127"/>
        <v>54004</v>
      </c>
      <c r="D331" s="61">
        <v>0</v>
      </c>
      <c r="E331" s="61">
        <v>0</v>
      </c>
      <c r="F331" s="61">
        <v>0</v>
      </c>
      <c r="G331" s="61">
        <v>54004</v>
      </c>
      <c r="H331" s="61">
        <v>0</v>
      </c>
      <c r="I331" s="61">
        <v>0</v>
      </c>
      <c r="J331" s="54"/>
      <c r="K331" s="41"/>
    </row>
    <row r="332" spans="1:11" s="38" customFormat="1" ht="12" x14ac:dyDescent="0.2">
      <c r="A332" s="41">
        <v>254</v>
      </c>
      <c r="B332" s="61" t="s">
        <v>11</v>
      </c>
      <c r="C332" s="61">
        <f t="shared" si="127"/>
        <v>200000</v>
      </c>
      <c r="D332" s="61">
        <v>50000</v>
      </c>
      <c r="E332" s="61">
        <v>0</v>
      </c>
      <c r="F332" s="61">
        <v>0</v>
      </c>
      <c r="G332" s="61">
        <f>100000</f>
        <v>100000</v>
      </c>
      <c r="H332" s="61">
        <f>50000</f>
        <v>50000</v>
      </c>
      <c r="I332" s="61">
        <v>0</v>
      </c>
      <c r="J332" s="54"/>
      <c r="K332" s="41"/>
    </row>
    <row r="333" spans="1:11" s="38" customFormat="1" ht="12" x14ac:dyDescent="0.2">
      <c r="A333" s="41">
        <v>255</v>
      </c>
      <c r="B333" s="61" t="s">
        <v>12</v>
      </c>
      <c r="C333" s="61">
        <f t="shared" si="127"/>
        <v>0</v>
      </c>
      <c r="D333" s="61">
        <v>0</v>
      </c>
      <c r="E333" s="61">
        <v>0</v>
      </c>
      <c r="F333" s="61">
        <v>0</v>
      </c>
      <c r="G333" s="61">
        <v>0</v>
      </c>
      <c r="H333" s="61">
        <v>0</v>
      </c>
      <c r="I333" s="61">
        <v>0</v>
      </c>
      <c r="J333" s="54"/>
      <c r="K333" s="41"/>
    </row>
    <row r="334" spans="1:11" s="38" customFormat="1" ht="84" x14ac:dyDescent="0.2">
      <c r="A334" s="41">
        <v>249</v>
      </c>
      <c r="B334" s="61" t="s">
        <v>41</v>
      </c>
      <c r="C334" s="69">
        <f t="shared" si="127"/>
        <v>8500</v>
      </c>
      <c r="D334" s="69">
        <f t="shared" ref="D334:I334" si="128">SUM(D335:D337)</f>
        <v>1500</v>
      </c>
      <c r="E334" s="69">
        <f t="shared" si="128"/>
        <v>1500</v>
      </c>
      <c r="F334" s="69">
        <f t="shared" si="128"/>
        <v>2000</v>
      </c>
      <c r="G334" s="69">
        <f t="shared" si="128"/>
        <v>1500</v>
      </c>
      <c r="H334" s="69">
        <f t="shared" si="128"/>
        <v>2000</v>
      </c>
      <c r="I334" s="69">
        <f t="shared" si="128"/>
        <v>0</v>
      </c>
      <c r="J334" s="54" t="s">
        <v>185</v>
      </c>
      <c r="K334" s="41"/>
    </row>
    <row r="335" spans="1:11" s="38" customFormat="1" ht="12" x14ac:dyDescent="0.2">
      <c r="A335" s="41">
        <v>250</v>
      </c>
      <c r="B335" s="61" t="s">
        <v>10</v>
      </c>
      <c r="C335" s="69">
        <f t="shared" si="127"/>
        <v>0</v>
      </c>
      <c r="D335" s="69"/>
      <c r="E335" s="69"/>
      <c r="F335" s="69"/>
      <c r="G335" s="69"/>
      <c r="H335" s="69"/>
      <c r="I335" s="69"/>
      <c r="J335" s="54"/>
      <c r="K335" s="41"/>
    </row>
    <row r="336" spans="1:11" s="38" customFormat="1" ht="12" x14ac:dyDescent="0.2">
      <c r="A336" s="41">
        <v>251</v>
      </c>
      <c r="B336" s="61" t="s">
        <v>11</v>
      </c>
      <c r="C336" s="69">
        <f t="shared" si="127"/>
        <v>8500</v>
      </c>
      <c r="D336" s="69">
        <v>1500</v>
      </c>
      <c r="E336" s="69">
        <v>1500</v>
      </c>
      <c r="F336" s="69">
        <v>2000</v>
      </c>
      <c r="G336" s="69">
        <v>1500</v>
      </c>
      <c r="H336" s="69">
        <v>2000</v>
      </c>
      <c r="I336" s="69"/>
      <c r="J336" s="54"/>
      <c r="K336" s="41"/>
    </row>
    <row r="337" spans="1:11" s="38" customFormat="1" ht="12" x14ac:dyDescent="0.2">
      <c r="A337" s="41">
        <v>252</v>
      </c>
      <c r="B337" s="61" t="s">
        <v>12</v>
      </c>
      <c r="C337" s="69">
        <f t="shared" si="127"/>
        <v>0</v>
      </c>
      <c r="D337" s="69"/>
      <c r="E337" s="69"/>
      <c r="F337" s="69"/>
      <c r="G337" s="69"/>
      <c r="H337" s="69"/>
      <c r="I337" s="69"/>
      <c r="J337" s="54"/>
      <c r="K337" s="41"/>
    </row>
    <row r="338" spans="1:11" s="38" customFormat="1" ht="108" x14ac:dyDescent="0.2">
      <c r="A338" s="41">
        <v>253</v>
      </c>
      <c r="B338" s="61" t="s">
        <v>42</v>
      </c>
      <c r="C338" s="69">
        <f t="shared" si="127"/>
        <v>2400</v>
      </c>
      <c r="D338" s="69">
        <f t="shared" ref="D338:I338" si="129">SUM(D339:D340)</f>
        <v>300</v>
      </c>
      <c r="E338" s="69">
        <f t="shared" si="129"/>
        <v>350</v>
      </c>
      <c r="F338" s="69">
        <f t="shared" si="129"/>
        <v>1250</v>
      </c>
      <c r="G338" s="69">
        <f t="shared" si="129"/>
        <v>500</v>
      </c>
      <c r="H338" s="68">
        <f t="shared" si="129"/>
        <v>0</v>
      </c>
      <c r="I338" s="68">
        <f t="shared" si="129"/>
        <v>0</v>
      </c>
      <c r="J338" s="54"/>
      <c r="K338" s="41"/>
    </row>
    <row r="339" spans="1:11" s="38" customFormat="1" ht="12" x14ac:dyDescent="0.2">
      <c r="A339" s="41">
        <v>254</v>
      </c>
      <c r="B339" s="61" t="s">
        <v>10</v>
      </c>
      <c r="C339" s="68">
        <f t="shared" si="127"/>
        <v>0</v>
      </c>
      <c r="D339" s="69"/>
      <c r="E339" s="69"/>
      <c r="F339" s="69"/>
      <c r="G339" s="69"/>
      <c r="H339" s="69"/>
      <c r="I339" s="69"/>
      <c r="J339" s="54" t="s">
        <v>185</v>
      </c>
      <c r="K339" s="41"/>
    </row>
    <row r="340" spans="1:11" s="38" customFormat="1" ht="12" x14ac:dyDescent="0.2">
      <c r="A340" s="41">
        <v>255</v>
      </c>
      <c r="B340" s="61" t="s">
        <v>11</v>
      </c>
      <c r="C340" s="69">
        <f t="shared" si="127"/>
        <v>2400</v>
      </c>
      <c r="D340" s="69">
        <v>300</v>
      </c>
      <c r="E340" s="69">
        <v>350</v>
      </c>
      <c r="F340" s="69">
        <v>1250</v>
      </c>
      <c r="G340" s="69">
        <v>500</v>
      </c>
      <c r="H340" s="69"/>
      <c r="I340" s="69"/>
      <c r="J340" s="54"/>
      <c r="K340" s="41"/>
    </row>
    <row r="341" spans="1:11" s="38" customFormat="1" ht="12" x14ac:dyDescent="0.2">
      <c r="A341" s="41">
        <v>256</v>
      </c>
      <c r="B341" s="61" t="s">
        <v>12</v>
      </c>
      <c r="C341" s="69">
        <f t="shared" si="127"/>
        <v>0</v>
      </c>
      <c r="D341" s="69"/>
      <c r="E341" s="69"/>
      <c r="F341" s="69"/>
      <c r="G341" s="69"/>
      <c r="H341" s="69"/>
      <c r="I341" s="69"/>
      <c r="J341" s="54"/>
      <c r="K341" s="41"/>
    </row>
    <row r="342" spans="1:11" s="38" customFormat="1" ht="60" x14ac:dyDescent="0.2">
      <c r="A342" s="41">
        <v>256</v>
      </c>
      <c r="B342" s="65" t="s">
        <v>186</v>
      </c>
      <c r="C342" s="73">
        <f t="shared" si="127"/>
        <v>0</v>
      </c>
      <c r="D342" s="73">
        <f t="shared" ref="D342:I342" si="130">SUM(D344:D346)</f>
        <v>0</v>
      </c>
      <c r="E342" s="73">
        <f t="shared" si="130"/>
        <v>0</v>
      </c>
      <c r="F342" s="73">
        <f t="shared" si="130"/>
        <v>0</v>
      </c>
      <c r="G342" s="73">
        <f t="shared" si="130"/>
        <v>0</v>
      </c>
      <c r="H342" s="73">
        <f t="shared" si="130"/>
        <v>0</v>
      </c>
      <c r="I342" s="73">
        <f t="shared" si="130"/>
        <v>0</v>
      </c>
      <c r="J342" s="54" t="s">
        <v>184</v>
      </c>
      <c r="K342" s="41" t="s">
        <v>149</v>
      </c>
    </row>
    <row r="343" spans="1:11" s="38" customFormat="1" ht="12" x14ac:dyDescent="0.2">
      <c r="A343" s="41">
        <v>257</v>
      </c>
      <c r="B343" s="61" t="s">
        <v>59</v>
      </c>
      <c r="C343" s="61">
        <f t="shared" si="127"/>
        <v>0</v>
      </c>
      <c r="D343" s="61">
        <v>0</v>
      </c>
      <c r="E343" s="61">
        <v>0</v>
      </c>
      <c r="F343" s="61">
        <v>0</v>
      </c>
      <c r="G343" s="61">
        <v>0</v>
      </c>
      <c r="H343" s="61">
        <v>0</v>
      </c>
      <c r="I343" s="61">
        <v>0</v>
      </c>
      <c r="J343" s="54"/>
      <c r="K343" s="41"/>
    </row>
    <row r="344" spans="1:11" s="38" customFormat="1" ht="12" x14ac:dyDescent="0.2">
      <c r="A344" s="41">
        <v>258</v>
      </c>
      <c r="B344" s="61" t="s">
        <v>10</v>
      </c>
      <c r="C344" s="61">
        <f t="shared" si="127"/>
        <v>0</v>
      </c>
      <c r="D344" s="61"/>
      <c r="E344" s="61">
        <v>0</v>
      </c>
      <c r="F344" s="61">
        <v>0</v>
      </c>
      <c r="G344" s="61">
        <v>0</v>
      </c>
      <c r="H344" s="61">
        <v>0</v>
      </c>
      <c r="I344" s="61">
        <v>0</v>
      </c>
      <c r="K344" s="41"/>
    </row>
    <row r="345" spans="1:11" s="38" customFormat="1" ht="12" x14ac:dyDescent="0.2">
      <c r="A345" s="41">
        <v>259</v>
      </c>
      <c r="B345" s="61" t="s">
        <v>11</v>
      </c>
      <c r="C345" s="61">
        <f t="shared" si="127"/>
        <v>0</v>
      </c>
      <c r="D345" s="61">
        <v>0</v>
      </c>
      <c r="E345" s="61">
        <v>0</v>
      </c>
      <c r="F345" s="61">
        <v>0</v>
      </c>
      <c r="G345" s="61">
        <f>300000-300000</f>
        <v>0</v>
      </c>
      <c r="H345" s="61">
        <v>0</v>
      </c>
      <c r="I345" s="61">
        <f>300000-300000</f>
        <v>0</v>
      </c>
      <c r="J345" s="54"/>
      <c r="K345" s="41"/>
    </row>
    <row r="346" spans="1:11" s="38" customFormat="1" ht="12" x14ac:dyDescent="0.2">
      <c r="A346" s="41">
        <v>260</v>
      </c>
      <c r="B346" s="61" t="s">
        <v>12</v>
      </c>
      <c r="C346" s="61">
        <f t="shared" si="127"/>
        <v>0</v>
      </c>
      <c r="D346" s="61">
        <v>0</v>
      </c>
      <c r="E346" s="61">
        <v>0</v>
      </c>
      <c r="F346" s="61">
        <v>0</v>
      </c>
      <c r="G346" s="61">
        <v>0</v>
      </c>
      <c r="H346" s="61">
        <v>0</v>
      </c>
      <c r="I346" s="61">
        <v>0</v>
      </c>
      <c r="J346" s="54"/>
      <c r="K346" s="41"/>
    </row>
    <row r="347" spans="1:11" s="38" customFormat="1" ht="60" x14ac:dyDescent="0.2">
      <c r="A347" s="41">
        <v>261</v>
      </c>
      <c r="B347" s="65" t="s">
        <v>187</v>
      </c>
      <c r="C347" s="73">
        <f t="shared" si="127"/>
        <v>140000</v>
      </c>
      <c r="D347" s="73">
        <f t="shared" ref="D347:I347" si="131">SUM(D349:D351)</f>
        <v>0</v>
      </c>
      <c r="E347" s="73">
        <f t="shared" si="131"/>
        <v>50000</v>
      </c>
      <c r="F347" s="73">
        <f t="shared" si="131"/>
        <v>55000</v>
      </c>
      <c r="G347" s="73">
        <f t="shared" si="131"/>
        <v>0</v>
      </c>
      <c r="H347" s="73">
        <f t="shared" si="131"/>
        <v>35000</v>
      </c>
      <c r="I347" s="73">
        <f t="shared" si="131"/>
        <v>0</v>
      </c>
      <c r="J347" s="54" t="s">
        <v>184</v>
      </c>
      <c r="K347" s="41" t="s">
        <v>149</v>
      </c>
    </row>
    <row r="348" spans="1:11" s="38" customFormat="1" ht="12" x14ac:dyDescent="0.2">
      <c r="A348" s="41">
        <v>262</v>
      </c>
      <c r="B348" s="61" t="s">
        <v>59</v>
      </c>
      <c r="C348" s="69">
        <f t="shared" si="127"/>
        <v>0</v>
      </c>
      <c r="D348" s="69">
        <v>0</v>
      </c>
      <c r="E348" s="69">
        <v>0</v>
      </c>
      <c r="F348" s="69">
        <v>0</v>
      </c>
      <c r="G348" s="69">
        <v>0</v>
      </c>
      <c r="H348" s="69">
        <v>0</v>
      </c>
      <c r="I348" s="69">
        <v>0</v>
      </c>
      <c r="J348" s="54"/>
      <c r="K348" s="41"/>
    </row>
    <row r="349" spans="1:11" s="38" customFormat="1" ht="12" x14ac:dyDescent="0.2">
      <c r="A349" s="41">
        <v>263</v>
      </c>
      <c r="B349" s="61" t="s">
        <v>10</v>
      </c>
      <c r="C349" s="69">
        <f t="shared" si="127"/>
        <v>0</v>
      </c>
      <c r="D349" s="61">
        <v>0</v>
      </c>
      <c r="E349" s="61">
        <v>0</v>
      </c>
      <c r="F349" s="61">
        <v>0</v>
      </c>
      <c r="G349" s="61">
        <v>0</v>
      </c>
      <c r="H349" s="61">
        <v>0</v>
      </c>
      <c r="I349" s="61">
        <v>0</v>
      </c>
      <c r="K349" s="41"/>
    </row>
    <row r="350" spans="1:11" s="38" customFormat="1" ht="12" x14ac:dyDescent="0.2">
      <c r="A350" s="41">
        <v>264</v>
      </c>
      <c r="B350" s="61" t="s">
        <v>11</v>
      </c>
      <c r="C350" s="69">
        <f t="shared" si="127"/>
        <v>140000</v>
      </c>
      <c r="D350" s="69">
        <v>0</v>
      </c>
      <c r="E350" s="69">
        <v>50000</v>
      </c>
      <c r="F350" s="69">
        <v>55000</v>
      </c>
      <c r="G350" s="69">
        <f>20000+35000-55000</f>
        <v>0</v>
      </c>
      <c r="H350" s="69">
        <f>20000+35000-20000</f>
        <v>35000</v>
      </c>
      <c r="I350" s="69">
        <f>20000-20000</f>
        <v>0</v>
      </c>
      <c r="J350" s="54"/>
      <c r="K350" s="41"/>
    </row>
    <row r="351" spans="1:11" s="38" customFormat="1" ht="12" x14ac:dyDescent="0.2">
      <c r="A351" s="41">
        <v>265</v>
      </c>
      <c r="B351" s="61" t="s">
        <v>12</v>
      </c>
      <c r="C351" s="69">
        <f t="shared" si="127"/>
        <v>0</v>
      </c>
      <c r="D351" s="61">
        <v>0</v>
      </c>
      <c r="E351" s="61">
        <v>0</v>
      </c>
      <c r="F351" s="61">
        <v>0</v>
      </c>
      <c r="G351" s="61">
        <v>0</v>
      </c>
      <c r="H351" s="61">
        <v>0</v>
      </c>
      <c r="I351" s="61">
        <v>0</v>
      </c>
      <c r="J351" s="54"/>
      <c r="K351" s="41"/>
    </row>
    <row r="352" spans="1:11" s="38" customFormat="1" ht="60" x14ac:dyDescent="0.2">
      <c r="A352" s="41">
        <v>266</v>
      </c>
      <c r="B352" s="92" t="s">
        <v>188</v>
      </c>
      <c r="C352" s="73">
        <f t="shared" si="127"/>
        <v>35000</v>
      </c>
      <c r="D352" s="73">
        <f t="shared" ref="D352:I352" si="132">SUM(D354:D356)</f>
        <v>0</v>
      </c>
      <c r="E352" s="73">
        <f t="shared" si="132"/>
        <v>0</v>
      </c>
      <c r="F352" s="73">
        <f t="shared" si="132"/>
        <v>0</v>
      </c>
      <c r="G352" s="73">
        <f t="shared" si="132"/>
        <v>0</v>
      </c>
      <c r="H352" s="73">
        <f t="shared" si="132"/>
        <v>35000</v>
      </c>
      <c r="I352" s="73">
        <f t="shared" si="132"/>
        <v>0</v>
      </c>
      <c r="J352" s="54" t="s">
        <v>184</v>
      </c>
      <c r="K352" s="41" t="s">
        <v>149</v>
      </c>
    </row>
    <row r="353" spans="1:11" s="38" customFormat="1" ht="12" x14ac:dyDescent="0.2">
      <c r="A353" s="41">
        <v>267</v>
      </c>
      <c r="B353" s="61" t="s">
        <v>59</v>
      </c>
      <c r="C353" s="69">
        <f t="shared" si="127"/>
        <v>0</v>
      </c>
      <c r="D353" s="69">
        <v>0</v>
      </c>
      <c r="E353" s="69">
        <v>0</v>
      </c>
      <c r="F353" s="69">
        <v>0</v>
      </c>
      <c r="G353" s="69">
        <v>0</v>
      </c>
      <c r="H353" s="69">
        <v>0</v>
      </c>
      <c r="I353" s="69">
        <v>0</v>
      </c>
      <c r="J353" s="54"/>
      <c r="K353" s="41"/>
    </row>
    <row r="354" spans="1:11" s="38" customFormat="1" ht="12" x14ac:dyDescent="0.2">
      <c r="A354" s="41">
        <v>268</v>
      </c>
      <c r="B354" s="61" t="s">
        <v>10</v>
      </c>
      <c r="C354" s="69">
        <f t="shared" si="127"/>
        <v>0</v>
      </c>
      <c r="D354" s="69">
        <v>0</v>
      </c>
      <c r="E354" s="69">
        <v>0</v>
      </c>
      <c r="F354" s="69">
        <v>0</v>
      </c>
      <c r="G354" s="69">
        <v>0</v>
      </c>
      <c r="H354" s="69">
        <v>0</v>
      </c>
      <c r="I354" s="69">
        <v>0</v>
      </c>
      <c r="J354" s="54"/>
      <c r="K354" s="41"/>
    </row>
    <row r="355" spans="1:11" s="38" customFormat="1" ht="12" x14ac:dyDescent="0.2">
      <c r="A355" s="41">
        <v>269</v>
      </c>
      <c r="B355" s="61" t="s">
        <v>11</v>
      </c>
      <c r="C355" s="69">
        <f t="shared" si="127"/>
        <v>35000</v>
      </c>
      <c r="D355" s="69">
        <v>0</v>
      </c>
      <c r="E355" s="69">
        <v>0</v>
      </c>
      <c r="F355" s="69">
        <v>0</v>
      </c>
      <c r="G355" s="69">
        <f>50000-50000</f>
        <v>0</v>
      </c>
      <c r="H355" s="69">
        <f>35000</f>
        <v>35000</v>
      </c>
      <c r="I355" s="69">
        <f>50000-50000</f>
        <v>0</v>
      </c>
      <c r="J355" s="79"/>
      <c r="K355" s="41"/>
    </row>
    <row r="356" spans="1:11" s="38" customFormat="1" ht="12" x14ac:dyDescent="0.2">
      <c r="A356" s="41">
        <v>270</v>
      </c>
      <c r="B356" s="61" t="s">
        <v>12</v>
      </c>
      <c r="C356" s="69">
        <f t="shared" si="127"/>
        <v>0</v>
      </c>
      <c r="D356" s="69"/>
      <c r="E356" s="69"/>
      <c r="F356" s="69"/>
      <c r="G356" s="69"/>
      <c r="H356" s="69"/>
      <c r="I356" s="69"/>
      <c r="J356" s="79"/>
      <c r="K356" s="41"/>
    </row>
    <row r="357" spans="1:11" s="38" customFormat="1" ht="60" x14ac:dyDescent="0.2">
      <c r="A357" s="41">
        <v>271</v>
      </c>
      <c r="B357" s="65" t="s">
        <v>189</v>
      </c>
      <c r="C357" s="73">
        <f t="shared" si="127"/>
        <v>0</v>
      </c>
      <c r="D357" s="73">
        <f t="shared" ref="D357:I357" si="133">SUM(D359:D361)</f>
        <v>0</v>
      </c>
      <c r="E357" s="73">
        <f t="shared" si="133"/>
        <v>0</v>
      </c>
      <c r="F357" s="73">
        <f t="shared" si="133"/>
        <v>0</v>
      </c>
      <c r="G357" s="73">
        <f t="shared" si="133"/>
        <v>0</v>
      </c>
      <c r="H357" s="73">
        <f t="shared" si="133"/>
        <v>0</v>
      </c>
      <c r="I357" s="73">
        <f t="shared" si="133"/>
        <v>0</v>
      </c>
      <c r="J357" s="54" t="s">
        <v>184</v>
      </c>
      <c r="K357" s="41" t="s">
        <v>149</v>
      </c>
    </row>
    <row r="358" spans="1:11" s="38" customFormat="1" ht="12" x14ac:dyDescent="0.2">
      <c r="A358" s="41">
        <v>272</v>
      </c>
      <c r="B358" s="61" t="s">
        <v>59</v>
      </c>
      <c r="C358" s="69">
        <f t="shared" si="127"/>
        <v>0</v>
      </c>
      <c r="D358" s="69">
        <v>0</v>
      </c>
      <c r="E358" s="69">
        <v>0</v>
      </c>
      <c r="F358" s="69">
        <v>0</v>
      </c>
      <c r="G358" s="69">
        <v>0</v>
      </c>
      <c r="H358" s="69">
        <v>0</v>
      </c>
      <c r="I358" s="69">
        <v>0</v>
      </c>
      <c r="J358" s="79"/>
      <c r="K358" s="41"/>
    </row>
    <row r="359" spans="1:11" s="38" customFormat="1" ht="12" x14ac:dyDescent="0.2">
      <c r="A359" s="41">
        <v>273</v>
      </c>
      <c r="B359" s="61" t="s">
        <v>10</v>
      </c>
      <c r="C359" s="69">
        <f t="shared" si="127"/>
        <v>0</v>
      </c>
      <c r="D359" s="69">
        <v>0</v>
      </c>
      <c r="E359" s="69">
        <v>0</v>
      </c>
      <c r="F359" s="69">
        <v>0</v>
      </c>
      <c r="G359" s="69">
        <v>0</v>
      </c>
      <c r="H359" s="69">
        <v>0</v>
      </c>
      <c r="I359" s="69">
        <v>0</v>
      </c>
      <c r="J359" s="79"/>
      <c r="K359" s="41"/>
    </row>
    <row r="360" spans="1:11" s="38" customFormat="1" ht="12" x14ac:dyDescent="0.2">
      <c r="A360" s="41">
        <v>274</v>
      </c>
      <c r="B360" s="61" t="s">
        <v>11</v>
      </c>
      <c r="C360" s="69">
        <f t="shared" si="127"/>
        <v>0</v>
      </c>
      <c r="D360" s="69">
        <v>0</v>
      </c>
      <c r="E360" s="69">
        <v>0</v>
      </c>
      <c r="F360" s="69">
        <v>0</v>
      </c>
      <c r="G360" s="69">
        <f>10000-10000</f>
        <v>0</v>
      </c>
      <c r="H360" s="69">
        <v>0</v>
      </c>
      <c r="I360" s="69">
        <f>10000-10000</f>
        <v>0</v>
      </c>
      <c r="J360" s="79"/>
      <c r="K360" s="41"/>
    </row>
    <row r="361" spans="1:11" s="38" customFormat="1" ht="12" x14ac:dyDescent="0.2">
      <c r="A361" s="41">
        <v>275</v>
      </c>
      <c r="B361" s="61" t="s">
        <v>12</v>
      </c>
      <c r="C361" s="69">
        <f t="shared" si="127"/>
        <v>0</v>
      </c>
      <c r="D361" s="61">
        <v>0</v>
      </c>
      <c r="E361" s="61">
        <v>0</v>
      </c>
      <c r="F361" s="61">
        <v>0</v>
      </c>
      <c r="G361" s="61">
        <v>0</v>
      </c>
      <c r="H361" s="61">
        <v>0</v>
      </c>
      <c r="I361" s="61">
        <v>0</v>
      </c>
      <c r="J361" s="79"/>
      <c r="K361" s="41"/>
    </row>
    <row r="362" spans="1:11" s="38" customFormat="1" ht="12" x14ac:dyDescent="0.2">
      <c r="A362" s="41">
        <v>276</v>
      </c>
      <c r="B362" s="215" t="s">
        <v>16</v>
      </c>
      <c r="C362" s="216"/>
      <c r="D362" s="216"/>
      <c r="E362" s="216"/>
      <c r="F362" s="216"/>
      <c r="G362" s="216"/>
      <c r="H362" s="216"/>
      <c r="I362" s="216"/>
      <c r="J362" s="217"/>
      <c r="K362" s="41"/>
    </row>
    <row r="363" spans="1:11" s="38" customFormat="1" ht="12" x14ac:dyDescent="0.2">
      <c r="A363" s="41">
        <v>277</v>
      </c>
      <c r="B363" s="57" t="s">
        <v>40</v>
      </c>
      <c r="C363" s="68">
        <f>SUM(D363:I363)</f>
        <v>705394.77</v>
      </c>
      <c r="D363" s="68">
        <f t="shared" ref="D363:I363" si="134">SUM(D365:D367)</f>
        <v>118000</v>
      </c>
      <c r="E363" s="68">
        <f t="shared" si="134"/>
        <v>160311.04000000001</v>
      </c>
      <c r="F363" s="68">
        <f t="shared" si="134"/>
        <v>87083.73000000001</v>
      </c>
      <c r="G363" s="68">
        <f t="shared" si="134"/>
        <v>60000</v>
      </c>
      <c r="H363" s="68">
        <f t="shared" si="134"/>
        <v>40000</v>
      </c>
      <c r="I363" s="68">
        <f t="shared" si="134"/>
        <v>240000</v>
      </c>
      <c r="J363" s="79"/>
      <c r="K363" s="41"/>
    </row>
    <row r="364" spans="1:11" s="38" customFormat="1" ht="12" x14ac:dyDescent="0.2">
      <c r="A364" s="41">
        <v>278</v>
      </c>
      <c r="B364" s="61" t="s">
        <v>59</v>
      </c>
      <c r="C364" s="69">
        <f>SUM(D364:I364)</f>
        <v>0</v>
      </c>
      <c r="D364" s="69">
        <v>0</v>
      </c>
      <c r="E364" s="69">
        <v>0</v>
      </c>
      <c r="F364" s="69">
        <v>0</v>
      </c>
      <c r="G364" s="69">
        <v>0</v>
      </c>
      <c r="H364" s="69">
        <v>0</v>
      </c>
      <c r="I364" s="69">
        <v>0</v>
      </c>
      <c r="J364" s="79"/>
      <c r="K364" s="41"/>
    </row>
    <row r="365" spans="1:11" s="38" customFormat="1" ht="12" x14ac:dyDescent="0.2">
      <c r="A365" s="41">
        <v>279</v>
      </c>
      <c r="B365" s="61" t="s">
        <v>10</v>
      </c>
      <c r="C365" s="69">
        <f>SUM(D365:I365)</f>
        <v>0</v>
      </c>
      <c r="D365" s="69">
        <f t="shared" ref="D365:I367" si="135">D371+D389</f>
        <v>0</v>
      </c>
      <c r="E365" s="69">
        <f t="shared" si="135"/>
        <v>0</v>
      </c>
      <c r="F365" s="69">
        <f t="shared" si="135"/>
        <v>0</v>
      </c>
      <c r="G365" s="69">
        <f t="shared" si="135"/>
        <v>0</v>
      </c>
      <c r="H365" s="69">
        <f t="shared" si="135"/>
        <v>0</v>
      </c>
      <c r="I365" s="69">
        <f t="shared" si="135"/>
        <v>0</v>
      </c>
      <c r="J365" s="79"/>
      <c r="K365" s="41"/>
    </row>
    <row r="366" spans="1:11" s="38" customFormat="1" ht="12" x14ac:dyDescent="0.2">
      <c r="A366" s="41">
        <v>280</v>
      </c>
      <c r="B366" s="61" t="s">
        <v>11</v>
      </c>
      <c r="C366" s="69">
        <f>SUM(D366:I366)</f>
        <v>705394.77</v>
      </c>
      <c r="D366" s="69">
        <f t="shared" si="135"/>
        <v>118000</v>
      </c>
      <c r="E366" s="69">
        <f t="shared" si="135"/>
        <v>160311.04000000001</v>
      </c>
      <c r="F366" s="69">
        <f t="shared" si="135"/>
        <v>87083.73000000001</v>
      </c>
      <c r="G366" s="69">
        <f t="shared" si="135"/>
        <v>60000</v>
      </c>
      <c r="H366" s="69">
        <f t="shared" si="135"/>
        <v>40000</v>
      </c>
      <c r="I366" s="69">
        <f t="shared" si="135"/>
        <v>240000</v>
      </c>
      <c r="J366" s="79"/>
      <c r="K366" s="41"/>
    </row>
    <row r="367" spans="1:11" s="38" customFormat="1" ht="12" x14ac:dyDescent="0.2">
      <c r="A367" s="41">
        <v>281</v>
      </c>
      <c r="B367" s="61" t="s">
        <v>12</v>
      </c>
      <c r="C367" s="69">
        <f>SUM(D367:I367)</f>
        <v>0</v>
      </c>
      <c r="D367" s="69">
        <f t="shared" si="135"/>
        <v>0</v>
      </c>
      <c r="E367" s="69">
        <f t="shared" si="135"/>
        <v>0</v>
      </c>
      <c r="F367" s="69">
        <f t="shared" si="135"/>
        <v>0</v>
      </c>
      <c r="G367" s="69">
        <f t="shared" si="135"/>
        <v>0</v>
      </c>
      <c r="H367" s="69">
        <f t="shared" si="135"/>
        <v>0</v>
      </c>
      <c r="I367" s="69">
        <f t="shared" si="135"/>
        <v>0</v>
      </c>
      <c r="J367" s="79"/>
      <c r="K367" s="41"/>
    </row>
    <row r="368" spans="1:11" s="38" customFormat="1" ht="12" x14ac:dyDescent="0.2">
      <c r="A368" s="41">
        <v>282</v>
      </c>
      <c r="B368" s="215" t="s">
        <v>60</v>
      </c>
      <c r="C368" s="216"/>
      <c r="D368" s="216"/>
      <c r="E368" s="216"/>
      <c r="F368" s="216"/>
      <c r="G368" s="216"/>
      <c r="H368" s="216"/>
      <c r="I368" s="216"/>
      <c r="J368" s="217"/>
      <c r="K368" s="41"/>
    </row>
    <row r="369" spans="1:11" s="38" customFormat="1" ht="36" x14ac:dyDescent="0.2">
      <c r="A369" s="41">
        <v>283</v>
      </c>
      <c r="B369" s="82" t="s">
        <v>62</v>
      </c>
      <c r="C369" s="68">
        <f>SUM(D369:I369)</f>
        <v>0</v>
      </c>
      <c r="D369" s="68">
        <f t="shared" ref="D369:I369" si="136">SUM(D371:D373)</f>
        <v>0</v>
      </c>
      <c r="E369" s="68">
        <f t="shared" si="136"/>
        <v>0</v>
      </c>
      <c r="F369" s="68">
        <f t="shared" si="136"/>
        <v>0</v>
      </c>
      <c r="G369" s="68">
        <f t="shared" si="136"/>
        <v>0</v>
      </c>
      <c r="H369" s="68">
        <f t="shared" si="136"/>
        <v>0</v>
      </c>
      <c r="I369" s="68">
        <f t="shared" si="136"/>
        <v>0</v>
      </c>
      <c r="J369" s="54"/>
      <c r="K369" s="41"/>
    </row>
    <row r="370" spans="1:11" s="38" customFormat="1" ht="12" x14ac:dyDescent="0.2">
      <c r="A370" s="41">
        <v>284</v>
      </c>
      <c r="B370" s="61" t="s">
        <v>59</v>
      </c>
      <c r="C370" s="69">
        <f>SUM(D370:I370)</f>
        <v>0</v>
      </c>
      <c r="D370" s="69">
        <f>D376+D382</f>
        <v>0</v>
      </c>
      <c r="E370" s="69">
        <f t="shared" ref="E370:I370" si="137">E376+E382</f>
        <v>0</v>
      </c>
      <c r="F370" s="69">
        <f t="shared" si="137"/>
        <v>0</v>
      </c>
      <c r="G370" s="69">
        <f t="shared" si="137"/>
        <v>0</v>
      </c>
      <c r="H370" s="69">
        <f t="shared" si="137"/>
        <v>0</v>
      </c>
      <c r="I370" s="69">
        <f t="shared" si="137"/>
        <v>0</v>
      </c>
      <c r="J370" s="54"/>
      <c r="K370" s="41"/>
    </row>
    <row r="371" spans="1:11" s="38" customFormat="1" ht="12" x14ac:dyDescent="0.2">
      <c r="A371" s="41">
        <v>285</v>
      </c>
      <c r="B371" s="83" t="s">
        <v>10</v>
      </c>
      <c r="C371" s="69">
        <f>SUM(D371:I371)</f>
        <v>0</v>
      </c>
      <c r="D371" s="69">
        <f t="shared" ref="D371:I373" si="138">D377+D383</f>
        <v>0</v>
      </c>
      <c r="E371" s="69">
        <f t="shared" si="138"/>
        <v>0</v>
      </c>
      <c r="F371" s="69">
        <f t="shared" si="138"/>
        <v>0</v>
      </c>
      <c r="G371" s="69">
        <f t="shared" si="138"/>
        <v>0</v>
      </c>
      <c r="H371" s="69">
        <f t="shared" si="138"/>
        <v>0</v>
      </c>
      <c r="I371" s="69">
        <f t="shared" si="138"/>
        <v>0</v>
      </c>
      <c r="J371" s="54"/>
      <c r="K371" s="41"/>
    </row>
    <row r="372" spans="1:11" s="38" customFormat="1" ht="12" x14ac:dyDescent="0.2">
      <c r="A372" s="41">
        <v>286</v>
      </c>
      <c r="B372" s="83" t="s">
        <v>11</v>
      </c>
      <c r="C372" s="69">
        <f>SUM(D372:I372)</f>
        <v>0</v>
      </c>
      <c r="D372" s="69">
        <f t="shared" si="138"/>
        <v>0</v>
      </c>
      <c r="E372" s="69">
        <f t="shared" si="138"/>
        <v>0</v>
      </c>
      <c r="F372" s="69">
        <f t="shared" si="138"/>
        <v>0</v>
      </c>
      <c r="G372" s="69">
        <f t="shared" si="138"/>
        <v>0</v>
      </c>
      <c r="H372" s="69">
        <f t="shared" si="138"/>
        <v>0</v>
      </c>
      <c r="I372" s="69">
        <f t="shared" si="138"/>
        <v>0</v>
      </c>
      <c r="J372" s="54"/>
      <c r="K372" s="41"/>
    </row>
    <row r="373" spans="1:11" s="38" customFormat="1" ht="12" x14ac:dyDescent="0.2">
      <c r="A373" s="41">
        <v>287</v>
      </c>
      <c r="B373" s="83" t="s">
        <v>12</v>
      </c>
      <c r="C373" s="69">
        <f>SUM(D373:I373)</f>
        <v>0</v>
      </c>
      <c r="D373" s="69">
        <f t="shared" si="138"/>
        <v>0</v>
      </c>
      <c r="E373" s="69">
        <f t="shared" si="138"/>
        <v>0</v>
      </c>
      <c r="F373" s="69">
        <f t="shared" si="138"/>
        <v>0</v>
      </c>
      <c r="G373" s="69">
        <f t="shared" si="138"/>
        <v>0</v>
      </c>
      <c r="H373" s="69">
        <f t="shared" si="138"/>
        <v>0</v>
      </c>
      <c r="I373" s="69">
        <f t="shared" si="138"/>
        <v>0</v>
      </c>
      <c r="J373" s="54"/>
      <c r="K373" s="41"/>
    </row>
    <row r="374" spans="1:11" s="38" customFormat="1" ht="12" x14ac:dyDescent="0.2">
      <c r="A374" s="41">
        <v>288</v>
      </c>
      <c r="B374" s="221" t="s">
        <v>145</v>
      </c>
      <c r="C374" s="222"/>
      <c r="D374" s="222"/>
      <c r="E374" s="222"/>
      <c r="F374" s="222"/>
      <c r="G374" s="222"/>
      <c r="H374" s="222"/>
      <c r="I374" s="222"/>
      <c r="J374" s="223"/>
      <c r="K374" s="41"/>
    </row>
    <row r="375" spans="1:11" s="38" customFormat="1" ht="36" x14ac:dyDescent="0.2">
      <c r="A375" s="41">
        <v>289</v>
      </c>
      <c r="B375" s="71" t="s">
        <v>146</v>
      </c>
      <c r="C375" s="68">
        <f>SUM(D375:I375)</f>
        <v>0</v>
      </c>
      <c r="D375" s="68">
        <f>SUM(D376:D379)</f>
        <v>0</v>
      </c>
      <c r="E375" s="68">
        <f t="shared" ref="E375:I375" si="139">SUM(E376:E379)</f>
        <v>0</v>
      </c>
      <c r="F375" s="68">
        <f t="shared" si="139"/>
        <v>0</v>
      </c>
      <c r="G375" s="68">
        <f t="shared" si="139"/>
        <v>0</v>
      </c>
      <c r="H375" s="68">
        <f t="shared" si="139"/>
        <v>0</v>
      </c>
      <c r="I375" s="68">
        <f t="shared" si="139"/>
        <v>0</v>
      </c>
      <c r="J375" s="54"/>
      <c r="K375" s="41"/>
    </row>
    <row r="376" spans="1:11" s="38" customFormat="1" ht="12" x14ac:dyDescent="0.2">
      <c r="A376" s="41">
        <v>290</v>
      </c>
      <c r="B376" s="71" t="s">
        <v>59</v>
      </c>
      <c r="C376" s="69">
        <f t="shared" ref="C376:C379" si="140">SUM(D376:I376)</f>
        <v>0</v>
      </c>
      <c r="D376" s="69">
        <v>0</v>
      </c>
      <c r="E376" s="69">
        <v>0</v>
      </c>
      <c r="F376" s="69">
        <v>0</v>
      </c>
      <c r="G376" s="69">
        <v>0</v>
      </c>
      <c r="H376" s="69">
        <v>0</v>
      </c>
      <c r="I376" s="69">
        <v>0</v>
      </c>
      <c r="J376" s="54"/>
      <c r="K376" s="41"/>
    </row>
    <row r="377" spans="1:11" s="38" customFormat="1" ht="12" x14ac:dyDescent="0.2">
      <c r="A377" s="41">
        <v>291</v>
      </c>
      <c r="B377" s="71" t="s">
        <v>10</v>
      </c>
      <c r="C377" s="69">
        <f t="shared" si="140"/>
        <v>0</v>
      </c>
      <c r="D377" s="69">
        <v>0</v>
      </c>
      <c r="E377" s="69">
        <v>0</v>
      </c>
      <c r="F377" s="69">
        <v>0</v>
      </c>
      <c r="G377" s="69">
        <v>0</v>
      </c>
      <c r="H377" s="69">
        <v>0</v>
      </c>
      <c r="I377" s="69">
        <v>0</v>
      </c>
      <c r="J377" s="54"/>
      <c r="K377" s="41"/>
    </row>
    <row r="378" spans="1:11" s="38" customFormat="1" ht="12" x14ac:dyDescent="0.2">
      <c r="A378" s="41">
        <v>292</v>
      </c>
      <c r="B378" s="71" t="s">
        <v>11</v>
      </c>
      <c r="C378" s="69">
        <f t="shared" si="140"/>
        <v>0</v>
      </c>
      <c r="D378" s="69">
        <v>0</v>
      </c>
      <c r="E378" s="69">
        <v>0</v>
      </c>
      <c r="F378" s="69">
        <v>0</v>
      </c>
      <c r="G378" s="69">
        <v>0</v>
      </c>
      <c r="H378" s="69">
        <v>0</v>
      </c>
      <c r="I378" s="69">
        <v>0</v>
      </c>
      <c r="J378" s="54"/>
      <c r="K378" s="41"/>
    </row>
    <row r="379" spans="1:11" s="38" customFormat="1" ht="12" x14ac:dyDescent="0.2">
      <c r="A379" s="41">
        <v>293</v>
      </c>
      <c r="B379" s="71" t="s">
        <v>12</v>
      </c>
      <c r="C379" s="69">
        <f t="shared" si="140"/>
        <v>0</v>
      </c>
      <c r="D379" s="69">
        <v>0</v>
      </c>
      <c r="E379" s="69">
        <v>0</v>
      </c>
      <c r="F379" s="69">
        <v>0</v>
      </c>
      <c r="G379" s="69">
        <v>0</v>
      </c>
      <c r="H379" s="69">
        <v>0</v>
      </c>
      <c r="I379" s="69">
        <v>0</v>
      </c>
      <c r="J379" s="54"/>
      <c r="K379" s="41"/>
    </row>
    <row r="380" spans="1:11" s="38" customFormat="1" ht="12" x14ac:dyDescent="0.2">
      <c r="A380" s="41">
        <v>294</v>
      </c>
      <c r="B380" s="218" t="s">
        <v>151</v>
      </c>
      <c r="C380" s="219"/>
      <c r="D380" s="219"/>
      <c r="E380" s="219"/>
      <c r="F380" s="219"/>
      <c r="G380" s="219"/>
      <c r="H380" s="219"/>
      <c r="I380" s="219"/>
      <c r="J380" s="220"/>
      <c r="K380" s="41"/>
    </row>
    <row r="381" spans="1:11" s="38" customFormat="1" ht="24" x14ac:dyDescent="0.2">
      <c r="A381" s="41">
        <v>295</v>
      </c>
      <c r="B381" s="71" t="s">
        <v>152</v>
      </c>
      <c r="C381" s="68">
        <f>SUM(D381:I381)</f>
        <v>0</v>
      </c>
      <c r="D381" s="68">
        <f>SUM(D382:D385)</f>
        <v>0</v>
      </c>
      <c r="E381" s="68">
        <f t="shared" ref="E381:I381" si="141">SUM(E382:E385)</f>
        <v>0</v>
      </c>
      <c r="F381" s="68">
        <f t="shared" si="141"/>
        <v>0</v>
      </c>
      <c r="G381" s="68">
        <f t="shared" si="141"/>
        <v>0</v>
      </c>
      <c r="H381" s="68">
        <f t="shared" si="141"/>
        <v>0</v>
      </c>
      <c r="I381" s="68">
        <f t="shared" si="141"/>
        <v>0</v>
      </c>
      <c r="J381" s="54"/>
      <c r="K381" s="41"/>
    </row>
    <row r="382" spans="1:11" s="38" customFormat="1" ht="12" x14ac:dyDescent="0.2">
      <c r="A382" s="41">
        <v>296</v>
      </c>
      <c r="B382" s="71" t="s">
        <v>59</v>
      </c>
      <c r="C382" s="69">
        <f t="shared" ref="C382:C385" si="142">SUM(D382:I382)</f>
        <v>0</v>
      </c>
      <c r="D382" s="69">
        <v>0</v>
      </c>
      <c r="E382" s="69">
        <v>0</v>
      </c>
      <c r="F382" s="69">
        <v>0</v>
      </c>
      <c r="G382" s="69">
        <v>0</v>
      </c>
      <c r="H382" s="69">
        <v>0</v>
      </c>
      <c r="I382" s="69">
        <v>0</v>
      </c>
      <c r="J382" s="54"/>
      <c r="K382" s="41"/>
    </row>
    <row r="383" spans="1:11" s="38" customFormat="1" ht="12" x14ac:dyDescent="0.2">
      <c r="A383" s="41">
        <v>297</v>
      </c>
      <c r="B383" s="71" t="s">
        <v>10</v>
      </c>
      <c r="C383" s="69">
        <f t="shared" si="142"/>
        <v>0</v>
      </c>
      <c r="D383" s="69">
        <v>0</v>
      </c>
      <c r="E383" s="69">
        <v>0</v>
      </c>
      <c r="F383" s="69">
        <v>0</v>
      </c>
      <c r="G383" s="69">
        <v>0</v>
      </c>
      <c r="H383" s="69">
        <v>0</v>
      </c>
      <c r="I383" s="69">
        <v>0</v>
      </c>
      <c r="J383" s="54"/>
      <c r="K383" s="41"/>
    </row>
    <row r="384" spans="1:11" s="38" customFormat="1" ht="12" x14ac:dyDescent="0.2">
      <c r="A384" s="41">
        <v>298</v>
      </c>
      <c r="B384" s="71" t="s">
        <v>11</v>
      </c>
      <c r="C384" s="69">
        <f t="shared" si="142"/>
        <v>0</v>
      </c>
      <c r="D384" s="69">
        <v>0</v>
      </c>
      <c r="E384" s="69">
        <v>0</v>
      </c>
      <c r="F384" s="69">
        <v>0</v>
      </c>
      <c r="G384" s="69">
        <v>0</v>
      </c>
      <c r="H384" s="69">
        <v>0</v>
      </c>
      <c r="I384" s="69">
        <v>0</v>
      </c>
      <c r="J384" s="54"/>
      <c r="K384" s="41"/>
    </row>
    <row r="385" spans="1:11" s="38" customFormat="1" ht="12" x14ac:dyDescent="0.2">
      <c r="A385" s="41">
        <v>299</v>
      </c>
      <c r="B385" s="71" t="s">
        <v>12</v>
      </c>
      <c r="C385" s="69">
        <f t="shared" si="142"/>
        <v>0</v>
      </c>
      <c r="D385" s="69">
        <v>0</v>
      </c>
      <c r="E385" s="69">
        <v>0</v>
      </c>
      <c r="F385" s="69">
        <v>0</v>
      </c>
      <c r="G385" s="69">
        <v>0</v>
      </c>
      <c r="H385" s="69">
        <v>0</v>
      </c>
      <c r="I385" s="69">
        <v>0</v>
      </c>
      <c r="J385" s="54"/>
      <c r="K385" s="41"/>
    </row>
    <row r="386" spans="1:11" s="38" customFormat="1" ht="12" x14ac:dyDescent="0.2">
      <c r="A386" s="41">
        <v>300</v>
      </c>
      <c r="B386" s="215" t="s">
        <v>61</v>
      </c>
      <c r="C386" s="216"/>
      <c r="D386" s="216"/>
      <c r="E386" s="216"/>
      <c r="F386" s="216"/>
      <c r="G386" s="216"/>
      <c r="H386" s="216"/>
      <c r="I386" s="216"/>
      <c r="J386" s="217"/>
      <c r="K386" s="41"/>
    </row>
    <row r="387" spans="1:11" s="38" customFormat="1" ht="24" x14ac:dyDescent="0.2">
      <c r="A387" s="41">
        <v>301</v>
      </c>
      <c r="B387" s="57" t="s">
        <v>23</v>
      </c>
      <c r="C387" s="68">
        <f t="shared" ref="C387:C427" si="143">SUM(D387:I387)</f>
        <v>705394.77</v>
      </c>
      <c r="D387" s="68">
        <f t="shared" ref="D387:I387" si="144">SUM(D389:D391)</f>
        <v>118000</v>
      </c>
      <c r="E387" s="68">
        <f t="shared" si="144"/>
        <v>160311.04000000001</v>
      </c>
      <c r="F387" s="68">
        <f t="shared" si="144"/>
        <v>87083.73000000001</v>
      </c>
      <c r="G387" s="68">
        <f t="shared" si="144"/>
        <v>60000</v>
      </c>
      <c r="H387" s="68">
        <f t="shared" si="144"/>
        <v>40000</v>
      </c>
      <c r="I387" s="68">
        <f t="shared" si="144"/>
        <v>240000</v>
      </c>
      <c r="J387" s="54"/>
      <c r="K387" s="41"/>
    </row>
    <row r="388" spans="1:11" s="38" customFormat="1" ht="12" x14ac:dyDescent="0.2">
      <c r="A388" s="41">
        <v>302</v>
      </c>
      <c r="B388" s="61" t="s">
        <v>59</v>
      </c>
      <c r="C388" s="69">
        <f t="shared" si="143"/>
        <v>0</v>
      </c>
      <c r="D388" s="69">
        <f t="shared" ref="D388:I391" si="145">D393+D419+D424</f>
        <v>0</v>
      </c>
      <c r="E388" s="69">
        <f t="shared" si="145"/>
        <v>0</v>
      </c>
      <c r="F388" s="69">
        <f t="shared" si="145"/>
        <v>0</v>
      </c>
      <c r="G388" s="69">
        <f t="shared" si="145"/>
        <v>0</v>
      </c>
      <c r="H388" s="69">
        <f t="shared" si="145"/>
        <v>0</v>
      </c>
      <c r="I388" s="69">
        <f t="shared" si="145"/>
        <v>0</v>
      </c>
      <c r="J388" s="54"/>
      <c r="K388" s="41"/>
    </row>
    <row r="389" spans="1:11" s="38" customFormat="1" ht="12" x14ac:dyDescent="0.2">
      <c r="A389" s="41">
        <v>303</v>
      </c>
      <c r="B389" s="61" t="s">
        <v>10</v>
      </c>
      <c r="C389" s="69">
        <f t="shared" si="143"/>
        <v>0</v>
      </c>
      <c r="D389" s="69">
        <f t="shared" si="145"/>
        <v>0</v>
      </c>
      <c r="E389" s="69">
        <f t="shared" si="145"/>
        <v>0</v>
      </c>
      <c r="F389" s="69">
        <f t="shared" si="145"/>
        <v>0</v>
      </c>
      <c r="G389" s="69">
        <f t="shared" si="145"/>
        <v>0</v>
      </c>
      <c r="H389" s="69">
        <f t="shared" si="145"/>
        <v>0</v>
      </c>
      <c r="I389" s="69">
        <f t="shared" si="145"/>
        <v>0</v>
      </c>
      <c r="J389" s="54"/>
      <c r="K389" s="41"/>
    </row>
    <row r="390" spans="1:11" s="38" customFormat="1" ht="12" x14ac:dyDescent="0.2">
      <c r="A390" s="41">
        <v>304</v>
      </c>
      <c r="B390" s="61" t="s">
        <v>11</v>
      </c>
      <c r="C390" s="69">
        <f t="shared" si="143"/>
        <v>705394.77</v>
      </c>
      <c r="D390" s="69">
        <f t="shared" si="145"/>
        <v>118000</v>
      </c>
      <c r="E390" s="69">
        <f t="shared" si="145"/>
        <v>160311.04000000001</v>
      </c>
      <c r="F390" s="69">
        <f t="shared" si="145"/>
        <v>87083.73000000001</v>
      </c>
      <c r="G390" s="69">
        <f t="shared" si="145"/>
        <v>60000</v>
      </c>
      <c r="H390" s="69">
        <f t="shared" si="145"/>
        <v>40000</v>
      </c>
      <c r="I390" s="69">
        <f t="shared" si="145"/>
        <v>240000</v>
      </c>
      <c r="J390" s="54"/>
      <c r="K390" s="41"/>
    </row>
    <row r="391" spans="1:11" s="38" customFormat="1" ht="12" x14ac:dyDescent="0.2">
      <c r="A391" s="41">
        <v>305</v>
      </c>
      <c r="B391" s="61" t="s">
        <v>12</v>
      </c>
      <c r="C391" s="69">
        <f t="shared" si="143"/>
        <v>0</v>
      </c>
      <c r="D391" s="69">
        <f t="shared" si="145"/>
        <v>0</v>
      </c>
      <c r="E391" s="69">
        <f t="shared" si="145"/>
        <v>0</v>
      </c>
      <c r="F391" s="69">
        <f t="shared" si="145"/>
        <v>0</v>
      </c>
      <c r="G391" s="69">
        <f t="shared" si="145"/>
        <v>0</v>
      </c>
      <c r="H391" s="69">
        <f t="shared" si="145"/>
        <v>0</v>
      </c>
      <c r="I391" s="69">
        <f t="shared" si="145"/>
        <v>0</v>
      </c>
      <c r="J391" s="54"/>
      <c r="K391" s="41"/>
    </row>
    <row r="392" spans="1:11" s="38" customFormat="1" ht="168" x14ac:dyDescent="0.2">
      <c r="A392" s="41">
        <v>306</v>
      </c>
      <c r="B392" s="65" t="s">
        <v>190</v>
      </c>
      <c r="C392" s="73">
        <f t="shared" si="143"/>
        <v>535394.77</v>
      </c>
      <c r="D392" s="73">
        <f t="shared" ref="D392:I392" si="146">SUM(D394:D396)</f>
        <v>118000</v>
      </c>
      <c r="E392" s="73">
        <f t="shared" si="146"/>
        <v>160311.04000000001</v>
      </c>
      <c r="F392" s="73">
        <f t="shared" si="146"/>
        <v>57083.73</v>
      </c>
      <c r="G392" s="73">
        <f t="shared" si="146"/>
        <v>0</v>
      </c>
      <c r="H392" s="73">
        <f t="shared" si="146"/>
        <v>0</v>
      </c>
      <c r="I392" s="73">
        <f t="shared" si="146"/>
        <v>200000</v>
      </c>
      <c r="J392" s="54" t="s">
        <v>191</v>
      </c>
      <c r="K392" s="41" t="s">
        <v>149</v>
      </c>
    </row>
    <row r="393" spans="1:11" s="38" customFormat="1" ht="12" x14ac:dyDescent="0.2">
      <c r="A393" s="41">
        <v>307</v>
      </c>
      <c r="B393" s="61" t="s">
        <v>59</v>
      </c>
      <c r="C393" s="69">
        <f t="shared" si="143"/>
        <v>0</v>
      </c>
      <c r="D393" s="69">
        <v>0</v>
      </c>
      <c r="E393" s="69">
        <v>0</v>
      </c>
      <c r="F393" s="69">
        <v>0</v>
      </c>
      <c r="G393" s="69">
        <v>0</v>
      </c>
      <c r="H393" s="69">
        <v>0</v>
      </c>
      <c r="I393" s="69">
        <v>0</v>
      </c>
      <c r="J393" s="79"/>
      <c r="K393" s="41"/>
    </row>
    <row r="394" spans="1:11" s="38" customFormat="1" ht="12" x14ac:dyDescent="0.2">
      <c r="A394" s="41">
        <v>308</v>
      </c>
      <c r="B394" s="61" t="s">
        <v>10</v>
      </c>
      <c r="C394" s="69">
        <f t="shared" si="143"/>
        <v>0</v>
      </c>
      <c r="D394" s="69">
        <f t="shared" ref="D394:I396" si="147">(D398+D402+D406+D410)*1000</f>
        <v>0</v>
      </c>
      <c r="E394" s="69">
        <f t="shared" si="147"/>
        <v>0</v>
      </c>
      <c r="F394" s="69">
        <f t="shared" si="147"/>
        <v>0</v>
      </c>
      <c r="G394" s="69">
        <f t="shared" si="147"/>
        <v>0</v>
      </c>
      <c r="H394" s="69">
        <f t="shared" si="147"/>
        <v>0</v>
      </c>
      <c r="I394" s="69">
        <f t="shared" si="147"/>
        <v>0</v>
      </c>
      <c r="J394" s="79"/>
      <c r="K394" s="41"/>
    </row>
    <row r="395" spans="1:11" s="38" customFormat="1" ht="12" x14ac:dyDescent="0.2">
      <c r="A395" s="41">
        <v>309</v>
      </c>
      <c r="B395" s="61" t="s">
        <v>11</v>
      </c>
      <c r="C395" s="69">
        <f t="shared" si="143"/>
        <v>535394.77</v>
      </c>
      <c r="D395" s="69">
        <f>(D399+D403+D407+D411)*1000-32000</f>
        <v>118000</v>
      </c>
      <c r="E395" s="69">
        <f>200000+16615.04-56304</f>
        <v>160311.04000000001</v>
      </c>
      <c r="F395" s="69">
        <v>57083.73</v>
      </c>
      <c r="G395" s="69">
        <f t="shared" si="147"/>
        <v>0</v>
      </c>
      <c r="H395" s="69">
        <f>(H399+H403+H407+H411)*1000-100000</f>
        <v>0</v>
      </c>
      <c r="I395" s="69">
        <f>(I399+I403+I407+I411)*1000+100000+100000</f>
        <v>200000</v>
      </c>
      <c r="J395" s="79"/>
      <c r="K395" s="41"/>
    </row>
    <row r="396" spans="1:11" s="38" customFormat="1" ht="12" x14ac:dyDescent="0.2">
      <c r="A396" s="41">
        <v>310</v>
      </c>
      <c r="B396" s="61" t="s">
        <v>12</v>
      </c>
      <c r="C396" s="69">
        <f t="shared" si="143"/>
        <v>0</v>
      </c>
      <c r="D396" s="69">
        <f t="shared" si="147"/>
        <v>0</v>
      </c>
      <c r="E396" s="69">
        <f t="shared" si="147"/>
        <v>0</v>
      </c>
      <c r="F396" s="69">
        <f t="shared" si="147"/>
        <v>0</v>
      </c>
      <c r="G396" s="69">
        <f t="shared" si="147"/>
        <v>0</v>
      </c>
      <c r="H396" s="69">
        <f t="shared" si="147"/>
        <v>0</v>
      </c>
      <c r="I396" s="69">
        <f t="shared" si="147"/>
        <v>0</v>
      </c>
      <c r="J396" s="79"/>
      <c r="K396" s="41"/>
    </row>
    <row r="397" spans="1:11" s="38" customFormat="1" ht="48" x14ac:dyDescent="0.2">
      <c r="A397" s="41">
        <v>312</v>
      </c>
      <c r="B397" s="61" t="s">
        <v>43</v>
      </c>
      <c r="C397" s="68">
        <f t="shared" si="143"/>
        <v>250</v>
      </c>
      <c r="D397" s="68">
        <f t="shared" ref="D397:I397" si="148">SUM(D398:D400)</f>
        <v>150</v>
      </c>
      <c r="E397" s="68">
        <f t="shared" si="148"/>
        <v>0</v>
      </c>
      <c r="F397" s="68">
        <f t="shared" si="148"/>
        <v>0</v>
      </c>
      <c r="G397" s="68">
        <f t="shared" si="148"/>
        <v>0</v>
      </c>
      <c r="H397" s="68">
        <f t="shared" si="148"/>
        <v>100</v>
      </c>
      <c r="I397" s="68">
        <f t="shared" si="148"/>
        <v>0</v>
      </c>
      <c r="J397" s="79"/>
      <c r="K397" s="41"/>
    </row>
    <row r="398" spans="1:11" s="38" customFormat="1" ht="12" x14ac:dyDescent="0.2">
      <c r="A398" s="41">
        <v>313</v>
      </c>
      <c r="B398" s="61" t="s">
        <v>10</v>
      </c>
      <c r="C398" s="69">
        <f t="shared" si="143"/>
        <v>0</v>
      </c>
      <c r="D398" s="69"/>
      <c r="E398" s="69"/>
      <c r="F398" s="69"/>
      <c r="G398" s="69"/>
      <c r="H398" s="69"/>
      <c r="I398" s="69"/>
      <c r="J398" s="79"/>
      <c r="K398" s="41"/>
    </row>
    <row r="399" spans="1:11" s="38" customFormat="1" ht="12" x14ac:dyDescent="0.2">
      <c r="A399" s="41">
        <v>314</v>
      </c>
      <c r="B399" s="61" t="s">
        <v>11</v>
      </c>
      <c r="C399" s="69">
        <f t="shared" si="143"/>
        <v>250</v>
      </c>
      <c r="D399" s="69">
        <v>150</v>
      </c>
      <c r="E399" s="69"/>
      <c r="F399" s="69"/>
      <c r="G399" s="69"/>
      <c r="H399" s="69">
        <v>100</v>
      </c>
      <c r="I399" s="69"/>
      <c r="J399" s="79"/>
      <c r="K399" s="41"/>
    </row>
    <row r="400" spans="1:11" s="38" customFormat="1" ht="12" x14ac:dyDescent="0.2">
      <c r="A400" s="41">
        <v>315</v>
      </c>
      <c r="B400" s="61" t="s">
        <v>12</v>
      </c>
      <c r="C400" s="69">
        <f t="shared" si="143"/>
        <v>0</v>
      </c>
      <c r="D400" s="69"/>
      <c r="E400" s="69"/>
      <c r="F400" s="69"/>
      <c r="G400" s="69"/>
      <c r="H400" s="69"/>
      <c r="I400" s="69"/>
      <c r="J400" s="79"/>
      <c r="K400" s="41"/>
    </row>
    <row r="401" spans="1:11" s="38" customFormat="1" ht="48" x14ac:dyDescent="0.2">
      <c r="A401" s="41">
        <v>316</v>
      </c>
      <c r="B401" s="61" t="s">
        <v>44</v>
      </c>
      <c r="C401" s="68">
        <f t="shared" si="143"/>
        <v>0</v>
      </c>
      <c r="D401" s="68"/>
      <c r="E401" s="68"/>
      <c r="F401" s="68"/>
      <c r="G401" s="68"/>
      <c r="H401" s="68"/>
      <c r="I401" s="68"/>
      <c r="J401" s="79"/>
      <c r="K401" s="41"/>
    </row>
    <row r="402" spans="1:11" s="38" customFormat="1" ht="12" x14ac:dyDescent="0.2">
      <c r="A402" s="41">
        <v>317</v>
      </c>
      <c r="B402" s="61" t="s">
        <v>10</v>
      </c>
      <c r="C402" s="69">
        <f t="shared" si="143"/>
        <v>0</v>
      </c>
      <c r="D402" s="69"/>
      <c r="E402" s="69"/>
      <c r="F402" s="69"/>
      <c r="G402" s="69"/>
      <c r="H402" s="69"/>
      <c r="I402" s="69"/>
      <c r="J402" s="79"/>
      <c r="K402" s="41"/>
    </row>
    <row r="403" spans="1:11" s="38" customFormat="1" ht="12" x14ac:dyDescent="0.2">
      <c r="A403" s="41">
        <v>318</v>
      </c>
      <c r="B403" s="61" t="s">
        <v>11</v>
      </c>
      <c r="C403" s="69">
        <f t="shared" si="143"/>
        <v>0</v>
      </c>
      <c r="D403" s="69"/>
      <c r="E403" s="69"/>
      <c r="F403" s="69"/>
      <c r="G403" s="69"/>
      <c r="H403" s="69"/>
      <c r="I403" s="69"/>
      <c r="J403" s="79"/>
      <c r="K403" s="41"/>
    </row>
    <row r="404" spans="1:11" s="38" customFormat="1" ht="12" x14ac:dyDescent="0.2">
      <c r="A404" s="41">
        <v>319</v>
      </c>
      <c r="B404" s="61" t="s">
        <v>12</v>
      </c>
      <c r="C404" s="69">
        <f t="shared" si="143"/>
        <v>0</v>
      </c>
      <c r="D404" s="69"/>
      <c r="E404" s="69"/>
      <c r="F404" s="69"/>
      <c r="G404" s="69"/>
      <c r="H404" s="69"/>
      <c r="I404" s="69"/>
      <c r="J404" s="79"/>
      <c r="K404" s="41"/>
    </row>
    <row r="405" spans="1:11" s="38" customFormat="1" ht="48" x14ac:dyDescent="0.2">
      <c r="A405" s="41">
        <v>320</v>
      </c>
      <c r="B405" s="61" t="s">
        <v>45</v>
      </c>
      <c r="C405" s="68">
        <f t="shared" si="143"/>
        <v>0</v>
      </c>
      <c r="D405" s="68">
        <f t="shared" ref="D405:I405" si="149">SUM(D406:D408)</f>
        <v>0</v>
      </c>
      <c r="E405" s="68">
        <f t="shared" si="149"/>
        <v>0</v>
      </c>
      <c r="F405" s="68">
        <f t="shared" si="149"/>
        <v>0</v>
      </c>
      <c r="G405" s="68">
        <f t="shared" si="149"/>
        <v>0</v>
      </c>
      <c r="H405" s="68">
        <f t="shared" si="149"/>
        <v>0</v>
      </c>
      <c r="I405" s="68">
        <f t="shared" si="149"/>
        <v>0</v>
      </c>
      <c r="J405" s="79"/>
      <c r="K405" s="41"/>
    </row>
    <row r="406" spans="1:11" s="38" customFormat="1" ht="12" x14ac:dyDescent="0.2">
      <c r="A406" s="41">
        <v>321</v>
      </c>
      <c r="B406" s="61" t="s">
        <v>10</v>
      </c>
      <c r="C406" s="69">
        <f t="shared" si="143"/>
        <v>0</v>
      </c>
      <c r="D406" s="69"/>
      <c r="E406" s="69"/>
      <c r="F406" s="69"/>
      <c r="G406" s="69"/>
      <c r="H406" s="69"/>
      <c r="I406" s="69"/>
      <c r="J406" s="79"/>
      <c r="K406" s="41"/>
    </row>
    <row r="407" spans="1:11" s="38" customFormat="1" ht="12" x14ac:dyDescent="0.2">
      <c r="A407" s="41">
        <v>322</v>
      </c>
      <c r="B407" s="61" t="s">
        <v>11</v>
      </c>
      <c r="C407" s="69">
        <f t="shared" si="143"/>
        <v>0</v>
      </c>
      <c r="D407" s="69"/>
      <c r="E407" s="69"/>
      <c r="F407" s="69"/>
      <c r="G407" s="69"/>
      <c r="H407" s="69"/>
      <c r="I407" s="69"/>
      <c r="J407" s="79"/>
      <c r="K407" s="41"/>
    </row>
    <row r="408" spans="1:11" s="38" customFormat="1" ht="12" x14ac:dyDescent="0.2">
      <c r="A408" s="41">
        <v>323</v>
      </c>
      <c r="B408" s="61" t="s">
        <v>12</v>
      </c>
      <c r="C408" s="69">
        <f t="shared" si="143"/>
        <v>0</v>
      </c>
      <c r="D408" s="69"/>
      <c r="E408" s="69"/>
      <c r="F408" s="69"/>
      <c r="G408" s="69"/>
      <c r="H408" s="69"/>
      <c r="I408" s="69"/>
      <c r="J408" s="79"/>
      <c r="K408" s="41"/>
    </row>
    <row r="409" spans="1:11" s="38" customFormat="1" ht="48" x14ac:dyDescent="0.2">
      <c r="A409" s="41">
        <v>324</v>
      </c>
      <c r="B409" s="61" t="s">
        <v>46</v>
      </c>
      <c r="C409" s="68">
        <f t="shared" si="143"/>
        <v>0</v>
      </c>
      <c r="D409" s="68">
        <f t="shared" ref="D409:I409" si="150">SUM(D410:D412)</f>
        <v>0</v>
      </c>
      <c r="E409" s="68">
        <f t="shared" si="150"/>
        <v>0</v>
      </c>
      <c r="F409" s="68">
        <f t="shared" si="150"/>
        <v>0</v>
      </c>
      <c r="G409" s="68">
        <f t="shared" si="150"/>
        <v>0</v>
      </c>
      <c r="H409" s="68">
        <f t="shared" si="150"/>
        <v>0</v>
      </c>
      <c r="I409" s="68">
        <f t="shared" si="150"/>
        <v>0</v>
      </c>
      <c r="J409" s="79"/>
      <c r="K409" s="41"/>
    </row>
    <row r="410" spans="1:11" s="38" customFormat="1" ht="12" x14ac:dyDescent="0.2">
      <c r="A410" s="41">
        <v>325</v>
      </c>
      <c r="B410" s="61" t="s">
        <v>10</v>
      </c>
      <c r="C410" s="69">
        <f t="shared" si="143"/>
        <v>0</v>
      </c>
      <c r="D410" s="69"/>
      <c r="E410" s="69"/>
      <c r="F410" s="69"/>
      <c r="G410" s="69"/>
      <c r="H410" s="69"/>
      <c r="I410" s="69"/>
      <c r="J410" s="79"/>
      <c r="K410" s="41"/>
    </row>
    <row r="411" spans="1:11" s="38" customFormat="1" ht="12" x14ac:dyDescent="0.2">
      <c r="A411" s="41">
        <v>326</v>
      </c>
      <c r="B411" s="61" t="s">
        <v>11</v>
      </c>
      <c r="C411" s="69">
        <f t="shared" si="143"/>
        <v>0</v>
      </c>
      <c r="D411" s="69"/>
      <c r="E411" s="69"/>
      <c r="F411" s="69"/>
      <c r="G411" s="69"/>
      <c r="H411" s="69"/>
      <c r="I411" s="69"/>
      <c r="J411" s="79"/>
      <c r="K411" s="41"/>
    </row>
    <row r="412" spans="1:11" s="38" customFormat="1" ht="12" x14ac:dyDescent="0.2">
      <c r="A412" s="41">
        <v>327</v>
      </c>
      <c r="B412" s="61" t="s">
        <v>12</v>
      </c>
      <c r="C412" s="69">
        <f t="shared" si="143"/>
        <v>0</v>
      </c>
      <c r="D412" s="69"/>
      <c r="E412" s="69"/>
      <c r="F412" s="69"/>
      <c r="G412" s="69"/>
      <c r="H412" s="69"/>
      <c r="I412" s="69"/>
      <c r="J412" s="79"/>
      <c r="K412" s="41"/>
    </row>
    <row r="413" spans="1:11" s="38" customFormat="1" ht="72" x14ac:dyDescent="0.2">
      <c r="A413" s="41">
        <v>311</v>
      </c>
      <c r="B413" s="65" t="s">
        <v>192</v>
      </c>
      <c r="C413" s="73">
        <f t="shared" ref="C413:C415" si="151">SUM(D413:I413)</f>
        <v>57083.73</v>
      </c>
      <c r="D413" s="76">
        <f>SUM(D414:D417)</f>
        <v>0</v>
      </c>
      <c r="E413" s="76">
        <f t="shared" ref="E413:I413" si="152">SUM(E414:E417)</f>
        <v>0</v>
      </c>
      <c r="F413" s="76">
        <f t="shared" si="152"/>
        <v>57083.73</v>
      </c>
      <c r="G413" s="76">
        <f t="shared" si="152"/>
        <v>0</v>
      </c>
      <c r="H413" s="76">
        <f t="shared" si="152"/>
        <v>0</v>
      </c>
      <c r="I413" s="76">
        <f t="shared" si="152"/>
        <v>0</v>
      </c>
      <c r="J413" s="54" t="s">
        <v>191</v>
      </c>
      <c r="K413" s="41" t="s">
        <v>149</v>
      </c>
    </row>
    <row r="414" spans="1:11" s="38" customFormat="1" ht="12" x14ac:dyDescent="0.2">
      <c r="A414" s="41">
        <v>312</v>
      </c>
      <c r="B414" s="61" t="s">
        <v>59</v>
      </c>
      <c r="C414" s="69">
        <f t="shared" si="151"/>
        <v>0</v>
      </c>
      <c r="D414" s="69">
        <v>0</v>
      </c>
      <c r="E414" s="69">
        <v>0</v>
      </c>
      <c r="F414" s="69">
        <v>0</v>
      </c>
      <c r="G414" s="69">
        <v>0</v>
      </c>
      <c r="H414" s="69">
        <v>0</v>
      </c>
      <c r="I414" s="69">
        <v>0</v>
      </c>
      <c r="J414" s="79"/>
      <c r="K414" s="41"/>
    </row>
    <row r="415" spans="1:11" s="38" customFormat="1" ht="12" x14ac:dyDescent="0.2">
      <c r="A415" s="41">
        <v>313</v>
      </c>
      <c r="B415" s="61" t="s">
        <v>10</v>
      </c>
      <c r="C415" s="69">
        <f t="shared" si="151"/>
        <v>0</v>
      </c>
      <c r="D415" s="69">
        <v>0</v>
      </c>
      <c r="E415" s="69">
        <v>0</v>
      </c>
      <c r="F415" s="69">
        <v>0</v>
      </c>
      <c r="G415" s="69">
        <v>0</v>
      </c>
      <c r="H415" s="69">
        <v>0</v>
      </c>
      <c r="I415" s="69">
        <v>0</v>
      </c>
      <c r="J415" s="79"/>
      <c r="K415" s="41"/>
    </row>
    <row r="416" spans="1:11" s="38" customFormat="1" ht="12" x14ac:dyDescent="0.2">
      <c r="A416" s="41">
        <v>314</v>
      </c>
      <c r="B416" s="61" t="s">
        <v>11</v>
      </c>
      <c r="C416" s="69">
        <f>SUM(D416:I416)</f>
        <v>57083.73</v>
      </c>
      <c r="D416" s="69">
        <v>0</v>
      </c>
      <c r="E416" s="69">
        <v>0</v>
      </c>
      <c r="F416" s="69">
        <v>57083.73</v>
      </c>
      <c r="G416" s="69">
        <v>0</v>
      </c>
      <c r="H416" s="69">
        <v>0</v>
      </c>
      <c r="I416" s="69">
        <v>0</v>
      </c>
      <c r="J416" s="79"/>
      <c r="K416" s="41"/>
    </row>
    <row r="417" spans="1:11" s="38" customFormat="1" ht="12" x14ac:dyDescent="0.2">
      <c r="A417" s="41">
        <v>315</v>
      </c>
      <c r="B417" s="61" t="s">
        <v>12</v>
      </c>
      <c r="C417" s="69">
        <f t="shared" ref="C417" si="153">SUM(D417:I417)</f>
        <v>0</v>
      </c>
      <c r="D417" s="69">
        <v>0</v>
      </c>
      <c r="E417" s="69">
        <v>0</v>
      </c>
      <c r="F417" s="69">
        <v>0</v>
      </c>
      <c r="G417" s="69">
        <v>0</v>
      </c>
      <c r="H417" s="69">
        <v>0</v>
      </c>
      <c r="I417" s="69">
        <v>0</v>
      </c>
      <c r="J417" s="79"/>
      <c r="K417" s="41"/>
    </row>
    <row r="418" spans="1:11" s="38" customFormat="1" ht="60" x14ac:dyDescent="0.2">
      <c r="A418" s="41">
        <v>316</v>
      </c>
      <c r="B418" s="65" t="s">
        <v>193</v>
      </c>
      <c r="C418" s="73">
        <f t="shared" si="143"/>
        <v>170000</v>
      </c>
      <c r="D418" s="73">
        <f>SUM(D420:D422)</f>
        <v>0</v>
      </c>
      <c r="E418" s="73">
        <f t="shared" ref="E418:I418" si="154">SUM(E420:E422)</f>
        <v>0</v>
      </c>
      <c r="F418" s="73">
        <f t="shared" si="154"/>
        <v>30000</v>
      </c>
      <c r="G418" s="73">
        <f t="shared" si="154"/>
        <v>60000</v>
      </c>
      <c r="H418" s="73">
        <f t="shared" si="154"/>
        <v>40000</v>
      </c>
      <c r="I418" s="73">
        <f t="shared" si="154"/>
        <v>40000</v>
      </c>
      <c r="J418" s="54" t="s">
        <v>191</v>
      </c>
      <c r="K418" s="41" t="s">
        <v>149</v>
      </c>
    </row>
    <row r="419" spans="1:11" s="38" customFormat="1" ht="12" x14ac:dyDescent="0.2">
      <c r="A419" s="41">
        <v>317</v>
      </c>
      <c r="B419" s="61" t="s">
        <v>59</v>
      </c>
      <c r="C419" s="69">
        <f t="shared" si="143"/>
        <v>0</v>
      </c>
      <c r="D419" s="69">
        <v>0</v>
      </c>
      <c r="E419" s="69">
        <v>0</v>
      </c>
      <c r="F419" s="69">
        <v>0</v>
      </c>
      <c r="G419" s="69">
        <v>0</v>
      </c>
      <c r="H419" s="69">
        <v>0</v>
      </c>
      <c r="I419" s="69">
        <v>0</v>
      </c>
      <c r="J419" s="79"/>
      <c r="K419" s="41"/>
    </row>
    <row r="420" spans="1:11" s="38" customFormat="1" ht="12" x14ac:dyDescent="0.2">
      <c r="A420" s="41">
        <v>318</v>
      </c>
      <c r="B420" s="61" t="s">
        <v>10</v>
      </c>
      <c r="C420" s="69">
        <f t="shared" si="143"/>
        <v>0</v>
      </c>
      <c r="D420" s="69"/>
      <c r="E420" s="69"/>
      <c r="F420" s="69"/>
      <c r="G420" s="69"/>
      <c r="H420" s="69"/>
      <c r="I420" s="69"/>
      <c r="J420" s="79"/>
      <c r="K420" s="41"/>
    </row>
    <row r="421" spans="1:11" s="38" customFormat="1" ht="12" x14ac:dyDescent="0.2">
      <c r="A421" s="41">
        <v>319</v>
      </c>
      <c r="B421" s="61" t="s">
        <v>11</v>
      </c>
      <c r="C421" s="69">
        <f t="shared" si="143"/>
        <v>170000</v>
      </c>
      <c r="D421" s="69">
        <f>80000-80000</f>
        <v>0</v>
      </c>
      <c r="E421" s="69">
        <f>60000-50000-10000</f>
        <v>0</v>
      </c>
      <c r="F421" s="69">
        <f>60000-30000</f>
        <v>30000</v>
      </c>
      <c r="G421" s="69">
        <f>90000-50000+20000</f>
        <v>60000</v>
      </c>
      <c r="H421" s="69">
        <f>100000-60000</f>
        <v>40000</v>
      </c>
      <c r="I421" s="69">
        <f>100000-60000</f>
        <v>40000</v>
      </c>
      <c r="J421" s="79"/>
      <c r="K421" s="41"/>
    </row>
    <row r="422" spans="1:11" s="38" customFormat="1" ht="12" x14ac:dyDescent="0.2">
      <c r="A422" s="41">
        <v>320</v>
      </c>
      <c r="B422" s="61" t="s">
        <v>12</v>
      </c>
      <c r="C422" s="69">
        <f t="shared" si="143"/>
        <v>0</v>
      </c>
      <c r="D422" s="69"/>
      <c r="E422" s="69"/>
      <c r="F422" s="69"/>
      <c r="G422" s="69"/>
      <c r="H422" s="69"/>
      <c r="I422" s="69"/>
      <c r="J422" s="79"/>
      <c r="K422" s="41"/>
    </row>
    <row r="423" spans="1:11" s="38" customFormat="1" ht="60" x14ac:dyDescent="0.2">
      <c r="A423" s="41">
        <v>321</v>
      </c>
      <c r="B423" s="65" t="s">
        <v>194</v>
      </c>
      <c r="C423" s="59" t="s">
        <v>48</v>
      </c>
      <c r="D423" s="73">
        <f t="shared" ref="D423:I423" si="155">SUM(D425:D427)</f>
        <v>0</v>
      </c>
      <c r="E423" s="73">
        <f t="shared" si="155"/>
        <v>0</v>
      </c>
      <c r="F423" s="73">
        <f t="shared" si="155"/>
        <v>0</v>
      </c>
      <c r="G423" s="73">
        <f t="shared" si="155"/>
        <v>0</v>
      </c>
      <c r="H423" s="73">
        <f t="shared" si="155"/>
        <v>0</v>
      </c>
      <c r="I423" s="73">
        <f t="shared" si="155"/>
        <v>0</v>
      </c>
      <c r="J423" s="54" t="s">
        <v>191</v>
      </c>
      <c r="K423" s="41" t="s">
        <v>149</v>
      </c>
    </row>
    <row r="424" spans="1:11" s="38" customFormat="1" ht="12" x14ac:dyDescent="0.2">
      <c r="A424" s="41">
        <v>322</v>
      </c>
      <c r="B424" s="61" t="s">
        <v>59</v>
      </c>
      <c r="C424" s="69">
        <f t="shared" si="143"/>
        <v>0</v>
      </c>
      <c r="D424" s="69">
        <v>0</v>
      </c>
      <c r="E424" s="69">
        <v>0</v>
      </c>
      <c r="F424" s="69">
        <v>0</v>
      </c>
      <c r="G424" s="69">
        <v>0</v>
      </c>
      <c r="H424" s="69">
        <v>0</v>
      </c>
      <c r="I424" s="69">
        <v>0</v>
      </c>
      <c r="J424" s="79"/>
      <c r="K424" s="41"/>
    </row>
    <row r="425" spans="1:11" s="38" customFormat="1" ht="12" x14ac:dyDescent="0.2">
      <c r="A425" s="41">
        <v>323</v>
      </c>
      <c r="B425" s="61" t="s">
        <v>10</v>
      </c>
      <c r="C425" s="69">
        <f t="shared" si="143"/>
        <v>0</v>
      </c>
      <c r="D425" s="69">
        <v>0</v>
      </c>
      <c r="E425" s="69">
        <v>0</v>
      </c>
      <c r="F425" s="69">
        <v>0</v>
      </c>
      <c r="G425" s="69">
        <v>0</v>
      </c>
      <c r="H425" s="69">
        <v>0</v>
      </c>
      <c r="I425" s="69">
        <v>0</v>
      </c>
      <c r="J425" s="79"/>
      <c r="K425" s="41"/>
    </row>
    <row r="426" spans="1:11" s="38" customFormat="1" ht="12" x14ac:dyDescent="0.2">
      <c r="A426" s="41">
        <v>324</v>
      </c>
      <c r="B426" s="61" t="s">
        <v>11</v>
      </c>
      <c r="C426" s="69">
        <f t="shared" si="143"/>
        <v>0</v>
      </c>
      <c r="D426" s="69">
        <v>0</v>
      </c>
      <c r="E426" s="69">
        <v>0</v>
      </c>
      <c r="F426" s="69">
        <v>0</v>
      </c>
      <c r="G426" s="69">
        <v>0</v>
      </c>
      <c r="H426" s="69">
        <v>0</v>
      </c>
      <c r="I426" s="69">
        <v>0</v>
      </c>
      <c r="J426" s="79"/>
      <c r="K426" s="41"/>
    </row>
    <row r="427" spans="1:11" s="38" customFormat="1" ht="12" x14ac:dyDescent="0.2">
      <c r="A427" s="41">
        <v>325</v>
      </c>
      <c r="B427" s="61" t="s">
        <v>12</v>
      </c>
      <c r="C427" s="69">
        <f t="shared" si="143"/>
        <v>0</v>
      </c>
      <c r="D427" s="69">
        <v>0</v>
      </c>
      <c r="E427" s="69">
        <v>0</v>
      </c>
      <c r="F427" s="69">
        <v>0</v>
      </c>
      <c r="G427" s="69">
        <v>0</v>
      </c>
      <c r="H427" s="69">
        <v>0</v>
      </c>
      <c r="I427" s="69">
        <v>0</v>
      </c>
      <c r="J427" s="79"/>
      <c r="K427" s="41"/>
    </row>
    <row r="428" spans="1:11" s="38" customFormat="1" ht="12" x14ac:dyDescent="0.2">
      <c r="A428" s="41">
        <v>326</v>
      </c>
      <c r="B428" s="215" t="s">
        <v>17</v>
      </c>
      <c r="C428" s="216"/>
      <c r="D428" s="216"/>
      <c r="E428" s="216"/>
      <c r="F428" s="216"/>
      <c r="G428" s="216"/>
      <c r="H428" s="216"/>
      <c r="I428" s="216"/>
      <c r="J428" s="217"/>
      <c r="K428" s="41"/>
    </row>
    <row r="429" spans="1:11" s="38" customFormat="1" ht="12" x14ac:dyDescent="0.2">
      <c r="A429" s="41">
        <v>327</v>
      </c>
      <c r="B429" s="93" t="s">
        <v>47</v>
      </c>
      <c r="C429" s="68">
        <f>SUM(D429:I429)</f>
        <v>3019935.7699999996</v>
      </c>
      <c r="D429" s="68">
        <f t="shared" ref="D429:I429" si="156">SUM(D431:D433)</f>
        <v>309148</v>
      </c>
      <c r="E429" s="68">
        <f t="shared" si="156"/>
        <v>360085.11</v>
      </c>
      <c r="F429" s="68">
        <f t="shared" si="156"/>
        <v>460700.47</v>
      </c>
      <c r="G429" s="68">
        <f t="shared" si="156"/>
        <v>630000.80999999994</v>
      </c>
      <c r="H429" s="68">
        <f t="shared" si="156"/>
        <v>630000.90999999992</v>
      </c>
      <c r="I429" s="68">
        <f t="shared" si="156"/>
        <v>630000.47</v>
      </c>
      <c r="J429" s="79"/>
      <c r="K429" s="41"/>
    </row>
    <row r="430" spans="1:11" s="38" customFormat="1" ht="12" x14ac:dyDescent="0.2">
      <c r="A430" s="41">
        <v>328</v>
      </c>
      <c r="B430" s="61" t="s">
        <v>59</v>
      </c>
      <c r="C430" s="69">
        <f>SUM(D430:I430)</f>
        <v>0</v>
      </c>
      <c r="D430" s="69">
        <f t="shared" ref="D430:I433" si="157">D436+D454</f>
        <v>0</v>
      </c>
      <c r="E430" s="69">
        <f t="shared" si="157"/>
        <v>0</v>
      </c>
      <c r="F430" s="69">
        <f t="shared" si="157"/>
        <v>0</v>
      </c>
      <c r="G430" s="69">
        <f t="shared" si="157"/>
        <v>0</v>
      </c>
      <c r="H430" s="69">
        <f t="shared" si="157"/>
        <v>0</v>
      </c>
      <c r="I430" s="69">
        <f t="shared" si="157"/>
        <v>0</v>
      </c>
      <c r="J430" s="79"/>
      <c r="K430" s="41"/>
    </row>
    <row r="431" spans="1:11" s="38" customFormat="1" ht="12" x14ac:dyDescent="0.2">
      <c r="A431" s="41">
        <v>329</v>
      </c>
      <c r="B431" s="94" t="s">
        <v>10</v>
      </c>
      <c r="C431" s="61">
        <f>SUM(D431:I431)</f>
        <v>0</v>
      </c>
      <c r="D431" s="61">
        <f t="shared" si="157"/>
        <v>0</v>
      </c>
      <c r="E431" s="61">
        <f t="shared" si="157"/>
        <v>0</v>
      </c>
      <c r="F431" s="61">
        <f t="shared" si="157"/>
        <v>0</v>
      </c>
      <c r="G431" s="61">
        <f t="shared" si="157"/>
        <v>0</v>
      </c>
      <c r="H431" s="61">
        <f t="shared" si="157"/>
        <v>0</v>
      </c>
      <c r="I431" s="61">
        <f t="shared" si="157"/>
        <v>0</v>
      </c>
      <c r="J431" s="79"/>
      <c r="K431" s="41"/>
    </row>
    <row r="432" spans="1:11" s="38" customFormat="1" ht="12" x14ac:dyDescent="0.2">
      <c r="A432" s="41">
        <v>330</v>
      </c>
      <c r="B432" s="94" t="s">
        <v>11</v>
      </c>
      <c r="C432" s="61">
        <f>SUM(D432:I432)</f>
        <v>3019935.7699999996</v>
      </c>
      <c r="D432" s="61">
        <f t="shared" si="157"/>
        <v>309148</v>
      </c>
      <c r="E432" s="61">
        <f t="shared" si="157"/>
        <v>360085.11</v>
      </c>
      <c r="F432" s="61">
        <f t="shared" si="157"/>
        <v>460700.47</v>
      </c>
      <c r="G432" s="61">
        <f t="shared" si="157"/>
        <v>630000.80999999994</v>
      </c>
      <c r="H432" s="61">
        <f t="shared" si="157"/>
        <v>630000.90999999992</v>
      </c>
      <c r="I432" s="61">
        <f t="shared" si="157"/>
        <v>630000.47</v>
      </c>
      <c r="J432" s="79"/>
      <c r="K432" s="41"/>
    </row>
    <row r="433" spans="1:11" s="38" customFormat="1" ht="12" x14ac:dyDescent="0.2">
      <c r="A433" s="41">
        <v>331</v>
      </c>
      <c r="B433" s="94" t="s">
        <v>12</v>
      </c>
      <c r="C433" s="61">
        <f>SUM(D433:I433)</f>
        <v>0</v>
      </c>
      <c r="D433" s="61">
        <f t="shared" si="157"/>
        <v>0</v>
      </c>
      <c r="E433" s="61">
        <f t="shared" si="157"/>
        <v>0</v>
      </c>
      <c r="F433" s="61">
        <f t="shared" si="157"/>
        <v>0</v>
      </c>
      <c r="G433" s="61">
        <f t="shared" si="157"/>
        <v>0</v>
      </c>
      <c r="H433" s="61">
        <f t="shared" si="157"/>
        <v>0</v>
      </c>
      <c r="I433" s="61">
        <f t="shared" si="157"/>
        <v>0</v>
      </c>
      <c r="J433" s="79"/>
      <c r="K433" s="41"/>
    </row>
    <row r="434" spans="1:11" s="38" customFormat="1" ht="12" x14ac:dyDescent="0.2">
      <c r="A434" s="41">
        <v>332</v>
      </c>
      <c r="B434" s="221" t="s">
        <v>60</v>
      </c>
      <c r="C434" s="222"/>
      <c r="D434" s="222"/>
      <c r="E434" s="222"/>
      <c r="F434" s="222"/>
      <c r="G434" s="222"/>
      <c r="H434" s="222"/>
      <c r="I434" s="222"/>
      <c r="J434" s="223"/>
      <c r="K434" s="41"/>
    </row>
    <row r="435" spans="1:11" s="38" customFormat="1" ht="36" x14ac:dyDescent="0.2">
      <c r="A435" s="41">
        <v>333</v>
      </c>
      <c r="B435" s="82" t="s">
        <v>62</v>
      </c>
      <c r="C435" s="68">
        <f>SUM(D435:I435)</f>
        <v>0</v>
      </c>
      <c r="D435" s="68">
        <f t="shared" ref="D435:I435" si="158">SUM(D437:D439)</f>
        <v>0</v>
      </c>
      <c r="E435" s="68">
        <f t="shared" si="158"/>
        <v>0</v>
      </c>
      <c r="F435" s="68">
        <f t="shared" si="158"/>
        <v>0</v>
      </c>
      <c r="G435" s="68">
        <f t="shared" si="158"/>
        <v>0</v>
      </c>
      <c r="H435" s="68">
        <f t="shared" si="158"/>
        <v>0</v>
      </c>
      <c r="I435" s="68">
        <f t="shared" si="158"/>
        <v>0</v>
      </c>
      <c r="J435" s="54"/>
      <c r="K435" s="41"/>
    </row>
    <row r="436" spans="1:11" s="38" customFormat="1" ht="12" x14ac:dyDescent="0.2">
      <c r="A436" s="41">
        <v>334</v>
      </c>
      <c r="B436" s="61" t="s">
        <v>59</v>
      </c>
      <c r="C436" s="69">
        <f>SUM(D436:I436)</f>
        <v>0</v>
      </c>
      <c r="D436" s="69">
        <f>D442+D448</f>
        <v>0</v>
      </c>
      <c r="E436" s="69">
        <f t="shared" ref="E436:I436" si="159">E442+E448</f>
        <v>0</v>
      </c>
      <c r="F436" s="69">
        <f t="shared" si="159"/>
        <v>0</v>
      </c>
      <c r="G436" s="69">
        <f t="shared" si="159"/>
        <v>0</v>
      </c>
      <c r="H436" s="69">
        <f t="shared" si="159"/>
        <v>0</v>
      </c>
      <c r="I436" s="69">
        <f t="shared" si="159"/>
        <v>0</v>
      </c>
      <c r="J436" s="54"/>
      <c r="K436" s="41"/>
    </row>
    <row r="437" spans="1:11" s="38" customFormat="1" ht="12" x14ac:dyDescent="0.2">
      <c r="A437" s="41">
        <v>335</v>
      </c>
      <c r="B437" s="83" t="s">
        <v>10</v>
      </c>
      <c r="C437" s="69">
        <f>SUM(D437:I437)</f>
        <v>0</v>
      </c>
      <c r="D437" s="69">
        <f t="shared" ref="D437:I439" si="160">D443+D449</f>
        <v>0</v>
      </c>
      <c r="E437" s="69">
        <f t="shared" si="160"/>
        <v>0</v>
      </c>
      <c r="F437" s="69">
        <f t="shared" si="160"/>
        <v>0</v>
      </c>
      <c r="G437" s="69">
        <f t="shared" si="160"/>
        <v>0</v>
      </c>
      <c r="H437" s="69">
        <f t="shared" si="160"/>
        <v>0</v>
      </c>
      <c r="I437" s="69">
        <f t="shared" si="160"/>
        <v>0</v>
      </c>
      <c r="J437" s="54"/>
      <c r="K437" s="41"/>
    </row>
    <row r="438" spans="1:11" s="38" customFormat="1" ht="12" x14ac:dyDescent="0.2">
      <c r="A438" s="41">
        <v>336</v>
      </c>
      <c r="B438" s="83" t="s">
        <v>11</v>
      </c>
      <c r="C438" s="69">
        <f>SUM(D438:I438)</f>
        <v>0</v>
      </c>
      <c r="D438" s="69">
        <f t="shared" si="160"/>
        <v>0</v>
      </c>
      <c r="E438" s="69">
        <f t="shared" si="160"/>
        <v>0</v>
      </c>
      <c r="F438" s="69">
        <f t="shared" si="160"/>
        <v>0</v>
      </c>
      <c r="G438" s="69">
        <f t="shared" si="160"/>
        <v>0</v>
      </c>
      <c r="H438" s="69">
        <f t="shared" si="160"/>
        <v>0</v>
      </c>
      <c r="I438" s="69">
        <f t="shared" si="160"/>
        <v>0</v>
      </c>
      <c r="J438" s="54"/>
      <c r="K438" s="41"/>
    </row>
    <row r="439" spans="1:11" s="38" customFormat="1" ht="12" x14ac:dyDescent="0.2">
      <c r="A439" s="41">
        <v>337</v>
      </c>
      <c r="B439" s="83" t="s">
        <v>12</v>
      </c>
      <c r="C439" s="69">
        <f>SUM(D439:I439)</f>
        <v>0</v>
      </c>
      <c r="D439" s="69">
        <f t="shared" si="160"/>
        <v>0</v>
      </c>
      <c r="E439" s="69">
        <f t="shared" si="160"/>
        <v>0</v>
      </c>
      <c r="F439" s="69">
        <f t="shared" si="160"/>
        <v>0</v>
      </c>
      <c r="G439" s="69">
        <f t="shared" si="160"/>
        <v>0</v>
      </c>
      <c r="H439" s="69">
        <f t="shared" si="160"/>
        <v>0</v>
      </c>
      <c r="I439" s="69">
        <f t="shared" si="160"/>
        <v>0</v>
      </c>
      <c r="J439" s="54"/>
      <c r="K439" s="41"/>
    </row>
    <row r="440" spans="1:11" s="38" customFormat="1" ht="12" x14ac:dyDescent="0.2">
      <c r="A440" s="41">
        <v>338</v>
      </c>
      <c r="B440" s="221" t="s">
        <v>145</v>
      </c>
      <c r="C440" s="222"/>
      <c r="D440" s="222"/>
      <c r="E440" s="222"/>
      <c r="F440" s="222"/>
      <c r="G440" s="222"/>
      <c r="H440" s="222"/>
      <c r="I440" s="222"/>
      <c r="J440" s="223"/>
      <c r="K440" s="41"/>
    </row>
    <row r="441" spans="1:11" s="38" customFormat="1" ht="36" x14ac:dyDescent="0.2">
      <c r="A441" s="41">
        <v>339</v>
      </c>
      <c r="B441" s="71" t="s">
        <v>146</v>
      </c>
      <c r="C441" s="68">
        <f>SUM(D441:I441)</f>
        <v>0</v>
      </c>
      <c r="D441" s="68">
        <f>SUM(D442:D445)</f>
        <v>0</v>
      </c>
      <c r="E441" s="68">
        <f t="shared" ref="E441:I441" si="161">SUM(E442:E445)</f>
        <v>0</v>
      </c>
      <c r="F441" s="68">
        <f t="shared" si="161"/>
        <v>0</v>
      </c>
      <c r="G441" s="68">
        <f t="shared" si="161"/>
        <v>0</v>
      </c>
      <c r="H441" s="68">
        <f t="shared" si="161"/>
        <v>0</v>
      </c>
      <c r="I441" s="68">
        <f t="shared" si="161"/>
        <v>0</v>
      </c>
      <c r="J441" s="54"/>
      <c r="K441" s="41"/>
    </row>
    <row r="442" spans="1:11" s="38" customFormat="1" ht="12" x14ac:dyDescent="0.2">
      <c r="A442" s="41">
        <v>340</v>
      </c>
      <c r="B442" s="71" t="s">
        <v>59</v>
      </c>
      <c r="C442" s="69">
        <f t="shared" ref="C442:C445" si="162">SUM(D442:I442)</f>
        <v>0</v>
      </c>
      <c r="D442" s="69">
        <v>0</v>
      </c>
      <c r="E442" s="69">
        <v>0</v>
      </c>
      <c r="F442" s="69">
        <v>0</v>
      </c>
      <c r="G442" s="69">
        <v>0</v>
      </c>
      <c r="H442" s="69">
        <v>0</v>
      </c>
      <c r="I442" s="69">
        <v>0</v>
      </c>
      <c r="J442" s="54"/>
      <c r="K442" s="41"/>
    </row>
    <row r="443" spans="1:11" s="38" customFormat="1" ht="12" x14ac:dyDescent="0.2">
      <c r="A443" s="41">
        <v>341</v>
      </c>
      <c r="B443" s="71" t="s">
        <v>10</v>
      </c>
      <c r="C443" s="69">
        <f t="shared" si="162"/>
        <v>0</v>
      </c>
      <c r="D443" s="69">
        <v>0</v>
      </c>
      <c r="E443" s="69">
        <v>0</v>
      </c>
      <c r="F443" s="69">
        <v>0</v>
      </c>
      <c r="G443" s="69">
        <v>0</v>
      </c>
      <c r="H443" s="69">
        <v>0</v>
      </c>
      <c r="I443" s="69">
        <v>0</v>
      </c>
      <c r="J443" s="54"/>
      <c r="K443" s="41"/>
    </row>
    <row r="444" spans="1:11" s="38" customFormat="1" ht="12" x14ac:dyDescent="0.2">
      <c r="A444" s="41">
        <v>342</v>
      </c>
      <c r="B444" s="71" t="s">
        <v>11</v>
      </c>
      <c r="C444" s="69">
        <f t="shared" si="162"/>
        <v>0</v>
      </c>
      <c r="D444" s="69">
        <v>0</v>
      </c>
      <c r="E444" s="69">
        <v>0</v>
      </c>
      <c r="F444" s="69">
        <v>0</v>
      </c>
      <c r="G444" s="69">
        <v>0</v>
      </c>
      <c r="H444" s="69">
        <v>0</v>
      </c>
      <c r="I444" s="69">
        <v>0</v>
      </c>
      <c r="J444" s="54"/>
      <c r="K444" s="41"/>
    </row>
    <row r="445" spans="1:11" s="38" customFormat="1" ht="12" x14ac:dyDescent="0.2">
      <c r="A445" s="41">
        <v>343</v>
      </c>
      <c r="B445" s="71" t="s">
        <v>12</v>
      </c>
      <c r="C445" s="69">
        <f t="shared" si="162"/>
        <v>0</v>
      </c>
      <c r="D445" s="69">
        <v>0</v>
      </c>
      <c r="E445" s="69">
        <v>0</v>
      </c>
      <c r="F445" s="69">
        <v>0</v>
      </c>
      <c r="G445" s="69">
        <v>0</v>
      </c>
      <c r="H445" s="69">
        <v>0</v>
      </c>
      <c r="I445" s="69">
        <v>0</v>
      </c>
      <c r="J445" s="54"/>
      <c r="K445" s="41"/>
    </row>
    <row r="446" spans="1:11" s="38" customFormat="1" ht="12" x14ac:dyDescent="0.2">
      <c r="A446" s="41">
        <v>344</v>
      </c>
      <c r="B446" s="218" t="s">
        <v>151</v>
      </c>
      <c r="C446" s="219"/>
      <c r="D446" s="219"/>
      <c r="E446" s="219"/>
      <c r="F446" s="219"/>
      <c r="G446" s="219"/>
      <c r="H446" s="219"/>
      <c r="I446" s="219"/>
      <c r="J446" s="220"/>
      <c r="K446" s="41"/>
    </row>
    <row r="447" spans="1:11" s="38" customFormat="1" ht="24" x14ac:dyDescent="0.2">
      <c r="A447" s="41">
        <v>345</v>
      </c>
      <c r="B447" s="71" t="s">
        <v>152</v>
      </c>
      <c r="C447" s="68">
        <f>SUM(D447:I447)</f>
        <v>0</v>
      </c>
      <c r="D447" s="68">
        <f>SUM(D448:D451)</f>
        <v>0</v>
      </c>
      <c r="E447" s="68">
        <f t="shared" ref="E447:I447" si="163">SUM(E448:E451)</f>
        <v>0</v>
      </c>
      <c r="F447" s="68">
        <f t="shared" si="163"/>
        <v>0</v>
      </c>
      <c r="G447" s="68">
        <f t="shared" si="163"/>
        <v>0</v>
      </c>
      <c r="H447" s="68">
        <f t="shared" si="163"/>
        <v>0</v>
      </c>
      <c r="I447" s="68">
        <f t="shared" si="163"/>
        <v>0</v>
      </c>
      <c r="J447" s="54"/>
      <c r="K447" s="41"/>
    </row>
    <row r="448" spans="1:11" s="38" customFormat="1" ht="12" x14ac:dyDescent="0.2">
      <c r="A448" s="41">
        <v>346</v>
      </c>
      <c r="B448" s="71" t="s">
        <v>59</v>
      </c>
      <c r="C448" s="69">
        <f t="shared" ref="C448:C451" si="164">SUM(D448:I448)</f>
        <v>0</v>
      </c>
      <c r="D448" s="69">
        <v>0</v>
      </c>
      <c r="E448" s="69">
        <v>0</v>
      </c>
      <c r="F448" s="69">
        <v>0</v>
      </c>
      <c r="G448" s="69">
        <v>0</v>
      </c>
      <c r="H448" s="69">
        <v>0</v>
      </c>
      <c r="I448" s="69">
        <v>0</v>
      </c>
      <c r="J448" s="54"/>
      <c r="K448" s="41"/>
    </row>
    <row r="449" spans="1:11" s="38" customFormat="1" ht="12" x14ac:dyDescent="0.2">
      <c r="A449" s="41">
        <v>347</v>
      </c>
      <c r="B449" s="71" t="s">
        <v>10</v>
      </c>
      <c r="C449" s="69">
        <f t="shared" si="164"/>
        <v>0</v>
      </c>
      <c r="D449" s="69">
        <v>0</v>
      </c>
      <c r="E449" s="69">
        <v>0</v>
      </c>
      <c r="F449" s="69">
        <v>0</v>
      </c>
      <c r="G449" s="69">
        <v>0</v>
      </c>
      <c r="H449" s="69">
        <v>0</v>
      </c>
      <c r="I449" s="69">
        <v>0</v>
      </c>
      <c r="J449" s="54"/>
      <c r="K449" s="41"/>
    </row>
    <row r="450" spans="1:11" s="38" customFormat="1" ht="12" x14ac:dyDescent="0.2">
      <c r="A450" s="41">
        <v>348</v>
      </c>
      <c r="B450" s="71" t="s">
        <v>11</v>
      </c>
      <c r="C450" s="69">
        <f t="shared" si="164"/>
        <v>0</v>
      </c>
      <c r="D450" s="69">
        <v>0</v>
      </c>
      <c r="E450" s="69">
        <v>0</v>
      </c>
      <c r="F450" s="69">
        <v>0</v>
      </c>
      <c r="G450" s="69">
        <v>0</v>
      </c>
      <c r="H450" s="69">
        <v>0</v>
      </c>
      <c r="I450" s="69">
        <v>0</v>
      </c>
      <c r="J450" s="54"/>
      <c r="K450" s="41"/>
    </row>
    <row r="451" spans="1:11" s="38" customFormat="1" ht="12" x14ac:dyDescent="0.2">
      <c r="A451" s="41">
        <v>349</v>
      </c>
      <c r="B451" s="71" t="s">
        <v>12</v>
      </c>
      <c r="C451" s="69">
        <f t="shared" si="164"/>
        <v>0</v>
      </c>
      <c r="D451" s="69">
        <v>0</v>
      </c>
      <c r="E451" s="69">
        <v>0</v>
      </c>
      <c r="F451" s="69">
        <v>0</v>
      </c>
      <c r="G451" s="69">
        <v>0</v>
      </c>
      <c r="H451" s="69">
        <v>0</v>
      </c>
      <c r="I451" s="69">
        <v>0</v>
      </c>
      <c r="J451" s="54"/>
      <c r="K451" s="41"/>
    </row>
    <row r="452" spans="1:11" s="38" customFormat="1" ht="12" x14ac:dyDescent="0.2">
      <c r="A452" s="41">
        <v>350</v>
      </c>
      <c r="B452" s="221" t="s">
        <v>61</v>
      </c>
      <c r="C452" s="222"/>
      <c r="D452" s="222"/>
      <c r="E452" s="222"/>
      <c r="F452" s="222"/>
      <c r="G452" s="222"/>
      <c r="H452" s="222"/>
      <c r="I452" s="222"/>
      <c r="J452" s="223"/>
      <c r="K452" s="41"/>
    </row>
    <row r="453" spans="1:11" s="38" customFormat="1" ht="24" x14ac:dyDescent="0.2">
      <c r="A453" s="41">
        <v>351</v>
      </c>
      <c r="B453" s="82" t="s">
        <v>71</v>
      </c>
      <c r="C453" s="68">
        <f>SUM(D453:I453)</f>
        <v>3019935.7699999996</v>
      </c>
      <c r="D453" s="68">
        <f t="shared" ref="D453:I453" si="165">SUM(D455:D457)</f>
        <v>309148</v>
      </c>
      <c r="E453" s="68">
        <f t="shared" si="165"/>
        <v>360085.11</v>
      </c>
      <c r="F453" s="68">
        <f t="shared" si="165"/>
        <v>460700.47</v>
      </c>
      <c r="G453" s="68">
        <f t="shared" si="165"/>
        <v>630000.80999999994</v>
      </c>
      <c r="H453" s="68">
        <f t="shared" si="165"/>
        <v>630000.90999999992</v>
      </c>
      <c r="I453" s="68">
        <f t="shared" si="165"/>
        <v>630000.47</v>
      </c>
      <c r="J453" s="54"/>
      <c r="K453" s="41"/>
    </row>
    <row r="454" spans="1:11" s="38" customFormat="1" ht="12" x14ac:dyDescent="0.2">
      <c r="A454" s="41">
        <v>352</v>
      </c>
      <c r="B454" s="61" t="s">
        <v>59</v>
      </c>
      <c r="C454" s="69">
        <f>SUM(D454:I454)</f>
        <v>0</v>
      </c>
      <c r="D454" s="69">
        <v>0</v>
      </c>
      <c r="E454" s="69">
        <v>0</v>
      </c>
      <c r="F454" s="69">
        <v>0</v>
      </c>
      <c r="G454" s="69">
        <v>0</v>
      </c>
      <c r="H454" s="69">
        <v>0</v>
      </c>
      <c r="I454" s="69">
        <v>0</v>
      </c>
      <c r="J454" s="54"/>
      <c r="K454" s="41"/>
    </row>
    <row r="455" spans="1:11" s="38" customFormat="1" ht="12" x14ac:dyDescent="0.2">
      <c r="A455" s="41">
        <v>353</v>
      </c>
      <c r="B455" s="83" t="s">
        <v>10</v>
      </c>
      <c r="C455" s="69">
        <f>SUM(D455:I455)</f>
        <v>0</v>
      </c>
      <c r="D455" s="69">
        <f t="shared" ref="D455:I457" si="166">D460+D481+D503</f>
        <v>0</v>
      </c>
      <c r="E455" s="69">
        <f t="shared" si="166"/>
        <v>0</v>
      </c>
      <c r="F455" s="69">
        <f t="shared" si="166"/>
        <v>0</v>
      </c>
      <c r="G455" s="69">
        <f t="shared" si="166"/>
        <v>0</v>
      </c>
      <c r="H455" s="69">
        <f t="shared" si="166"/>
        <v>0</v>
      </c>
      <c r="I455" s="69">
        <f t="shared" si="166"/>
        <v>0</v>
      </c>
      <c r="J455" s="54"/>
      <c r="K455" s="41"/>
    </row>
    <row r="456" spans="1:11" s="38" customFormat="1" ht="12" x14ac:dyDescent="0.2">
      <c r="A456" s="41">
        <v>354</v>
      </c>
      <c r="B456" s="83" t="s">
        <v>11</v>
      </c>
      <c r="C456" s="61">
        <f>SUM(D456:I456)</f>
        <v>3019935.7699999996</v>
      </c>
      <c r="D456" s="61">
        <f t="shared" si="166"/>
        <v>309148</v>
      </c>
      <c r="E456" s="61">
        <f t="shared" si="166"/>
        <v>360085.11</v>
      </c>
      <c r="F456" s="61">
        <f t="shared" si="166"/>
        <v>460700.47</v>
      </c>
      <c r="G456" s="61">
        <f>G461+G482+G504</f>
        <v>630000.80999999994</v>
      </c>
      <c r="H456" s="61">
        <f>H461+H482+H504</f>
        <v>630000.90999999992</v>
      </c>
      <c r="I456" s="61">
        <f>I461+I482+I504</f>
        <v>630000.47</v>
      </c>
      <c r="J456" s="54"/>
      <c r="K456" s="41"/>
    </row>
    <row r="457" spans="1:11" s="38" customFormat="1" ht="12" x14ac:dyDescent="0.2">
      <c r="A457" s="41">
        <v>355</v>
      </c>
      <c r="B457" s="83" t="s">
        <v>12</v>
      </c>
      <c r="C457" s="61">
        <f>SUM(D457:I457)</f>
        <v>0</v>
      </c>
      <c r="D457" s="61">
        <f t="shared" si="166"/>
        <v>0</v>
      </c>
      <c r="E457" s="61">
        <f t="shared" si="166"/>
        <v>0</v>
      </c>
      <c r="F457" s="61">
        <f t="shared" si="166"/>
        <v>0</v>
      </c>
      <c r="G457" s="61">
        <f t="shared" si="166"/>
        <v>0</v>
      </c>
      <c r="H457" s="61">
        <f t="shared" si="166"/>
        <v>0</v>
      </c>
      <c r="I457" s="61">
        <f t="shared" si="166"/>
        <v>0</v>
      </c>
      <c r="J457" s="54"/>
      <c r="K457" s="41"/>
    </row>
    <row r="458" spans="1:11" s="38" customFormat="1" ht="72" x14ac:dyDescent="0.2">
      <c r="A458" s="41">
        <v>356</v>
      </c>
      <c r="B458" s="95" t="s">
        <v>195</v>
      </c>
      <c r="C458" s="59" t="s">
        <v>48</v>
      </c>
      <c r="D458" s="69">
        <v>0</v>
      </c>
      <c r="E458" s="69">
        <v>0</v>
      </c>
      <c r="F458" s="69">
        <v>0</v>
      </c>
      <c r="G458" s="69">
        <v>0</v>
      </c>
      <c r="H458" s="69">
        <v>0</v>
      </c>
      <c r="I458" s="69">
        <v>0</v>
      </c>
      <c r="J458" s="54" t="s">
        <v>196</v>
      </c>
      <c r="K458" s="41" t="s">
        <v>149</v>
      </c>
    </row>
    <row r="459" spans="1:11" s="38" customFormat="1" ht="12" x14ac:dyDescent="0.2">
      <c r="A459" s="41">
        <v>357</v>
      </c>
      <c r="B459" s="61" t="s">
        <v>59</v>
      </c>
      <c r="C459" s="59">
        <f>SUM(D459:I459)</f>
        <v>0</v>
      </c>
      <c r="D459" s="69">
        <v>0</v>
      </c>
      <c r="E459" s="69">
        <v>0</v>
      </c>
      <c r="F459" s="69">
        <v>0</v>
      </c>
      <c r="G459" s="69">
        <v>0</v>
      </c>
      <c r="H459" s="69">
        <v>0</v>
      </c>
      <c r="I459" s="69">
        <v>0</v>
      </c>
      <c r="J459" s="79"/>
      <c r="K459" s="41"/>
    </row>
    <row r="460" spans="1:11" s="38" customFormat="1" ht="12" x14ac:dyDescent="0.2">
      <c r="A460" s="41">
        <v>358</v>
      </c>
      <c r="B460" s="94" t="s">
        <v>10</v>
      </c>
      <c r="C460" s="59">
        <f>SUM(D460:I460)</f>
        <v>0</v>
      </c>
      <c r="D460" s="69">
        <v>0</v>
      </c>
      <c r="E460" s="69">
        <v>0</v>
      </c>
      <c r="F460" s="69">
        <v>0</v>
      </c>
      <c r="G460" s="69">
        <v>0</v>
      </c>
      <c r="H460" s="69">
        <v>0</v>
      </c>
      <c r="I460" s="69">
        <v>0</v>
      </c>
      <c r="J460" s="79"/>
      <c r="K460" s="41"/>
    </row>
    <row r="461" spans="1:11" s="38" customFormat="1" ht="12" x14ac:dyDescent="0.2">
      <c r="A461" s="41">
        <v>359</v>
      </c>
      <c r="B461" s="94" t="s">
        <v>11</v>
      </c>
      <c r="C461" s="59">
        <f>SUM(D461:I461)</f>
        <v>0</v>
      </c>
      <c r="D461" s="69">
        <v>0</v>
      </c>
      <c r="E461" s="69">
        <v>0</v>
      </c>
      <c r="F461" s="69">
        <v>0</v>
      </c>
      <c r="G461" s="69">
        <v>0</v>
      </c>
      <c r="H461" s="69">
        <v>0</v>
      </c>
      <c r="I461" s="69">
        <v>0</v>
      </c>
      <c r="J461" s="79"/>
      <c r="K461" s="41"/>
    </row>
    <row r="462" spans="1:11" s="38" customFormat="1" ht="12" x14ac:dyDescent="0.2">
      <c r="A462" s="41">
        <v>360</v>
      </c>
      <c r="B462" s="94" t="s">
        <v>12</v>
      </c>
      <c r="C462" s="59">
        <f>SUM(D462:I462)</f>
        <v>0</v>
      </c>
      <c r="D462" s="69">
        <v>0</v>
      </c>
      <c r="E462" s="69">
        <v>0</v>
      </c>
      <c r="F462" s="69">
        <v>0</v>
      </c>
      <c r="G462" s="69">
        <v>0</v>
      </c>
      <c r="H462" s="69">
        <v>0</v>
      </c>
      <c r="I462" s="69">
        <v>0</v>
      </c>
      <c r="J462" s="79"/>
      <c r="K462" s="41"/>
    </row>
    <row r="463" spans="1:11" s="38" customFormat="1" ht="84" x14ac:dyDescent="0.2">
      <c r="A463" s="41">
        <v>378</v>
      </c>
      <c r="B463" s="94" t="s">
        <v>49</v>
      </c>
      <c r="C463" s="59"/>
      <c r="D463" s="59"/>
      <c r="E463" s="59"/>
      <c r="F463" s="59"/>
      <c r="G463" s="59"/>
      <c r="H463" s="59"/>
      <c r="I463" s="59"/>
      <c r="J463" s="79"/>
      <c r="K463" s="41"/>
    </row>
    <row r="464" spans="1:11" s="38" customFormat="1" ht="12" x14ac:dyDescent="0.2">
      <c r="A464" s="41">
        <v>379</v>
      </c>
      <c r="B464" s="94" t="s">
        <v>10</v>
      </c>
      <c r="C464" s="59">
        <f>SUM(D464:I464)</f>
        <v>0</v>
      </c>
      <c r="D464" s="59"/>
      <c r="E464" s="59"/>
      <c r="F464" s="59"/>
      <c r="G464" s="59"/>
      <c r="H464" s="59"/>
      <c r="I464" s="59"/>
      <c r="J464" s="79"/>
      <c r="K464" s="41"/>
    </row>
    <row r="465" spans="1:11" s="38" customFormat="1" ht="12" x14ac:dyDescent="0.2">
      <c r="A465" s="41">
        <v>380</v>
      </c>
      <c r="B465" s="94" t="s">
        <v>11</v>
      </c>
      <c r="C465" s="59">
        <f>SUM(D465:I465)</f>
        <v>0</v>
      </c>
      <c r="D465" s="59"/>
      <c r="E465" s="59"/>
      <c r="F465" s="59"/>
      <c r="G465" s="59"/>
      <c r="H465" s="59"/>
      <c r="I465" s="59"/>
      <c r="J465" s="79"/>
      <c r="K465" s="41"/>
    </row>
    <row r="466" spans="1:11" s="38" customFormat="1" ht="12" x14ac:dyDescent="0.2">
      <c r="A466" s="41">
        <v>352</v>
      </c>
      <c r="B466" s="94" t="s">
        <v>12</v>
      </c>
      <c r="C466" s="59">
        <f>SUM(D466:I466)</f>
        <v>0</v>
      </c>
      <c r="D466" s="59"/>
      <c r="E466" s="59"/>
      <c r="F466" s="59"/>
      <c r="G466" s="59"/>
      <c r="H466" s="59"/>
      <c r="I466" s="59"/>
      <c r="J466" s="79"/>
      <c r="K466" s="41"/>
    </row>
    <row r="467" spans="1:11" s="38" customFormat="1" ht="72" x14ac:dyDescent="0.2">
      <c r="A467" s="41">
        <v>353</v>
      </c>
      <c r="B467" s="94" t="s">
        <v>50</v>
      </c>
      <c r="C467" s="59"/>
      <c r="D467" s="59"/>
      <c r="E467" s="59"/>
      <c r="F467" s="59"/>
      <c r="G467" s="59"/>
      <c r="H467" s="59"/>
      <c r="I467" s="59"/>
      <c r="J467" s="79"/>
      <c r="K467" s="41"/>
    </row>
    <row r="468" spans="1:11" s="38" customFormat="1" ht="12" x14ac:dyDescent="0.2">
      <c r="A468" s="41">
        <v>354</v>
      </c>
      <c r="B468" s="94" t="s">
        <v>10</v>
      </c>
      <c r="C468" s="59">
        <f>SUM(D468:I468)</f>
        <v>0</v>
      </c>
      <c r="D468" s="59"/>
      <c r="E468" s="59"/>
      <c r="F468" s="59"/>
      <c r="G468" s="59"/>
      <c r="H468" s="59"/>
      <c r="I468" s="59"/>
      <c r="J468" s="79"/>
      <c r="K468" s="41"/>
    </row>
    <row r="469" spans="1:11" s="38" customFormat="1" ht="12" x14ac:dyDescent="0.2">
      <c r="A469" s="41">
        <v>355</v>
      </c>
      <c r="B469" s="94" t="s">
        <v>11</v>
      </c>
      <c r="C469" s="59">
        <f>SUM(D469:I469)</f>
        <v>0</v>
      </c>
      <c r="D469" s="59"/>
      <c r="E469" s="59"/>
      <c r="F469" s="59"/>
      <c r="G469" s="59"/>
      <c r="H469" s="59"/>
      <c r="I469" s="59"/>
      <c r="J469" s="79"/>
      <c r="K469" s="41"/>
    </row>
    <row r="470" spans="1:11" s="38" customFormat="1" ht="12" x14ac:dyDescent="0.2">
      <c r="A470" s="41">
        <v>356</v>
      </c>
      <c r="B470" s="94" t="s">
        <v>12</v>
      </c>
      <c r="C470" s="59">
        <f>SUM(D470:I470)</f>
        <v>0</v>
      </c>
      <c r="D470" s="59"/>
      <c r="E470" s="59"/>
      <c r="F470" s="59"/>
      <c r="G470" s="59"/>
      <c r="H470" s="59"/>
      <c r="I470" s="59"/>
      <c r="J470" s="79"/>
      <c r="K470" s="41"/>
    </row>
    <row r="471" spans="1:11" s="38" customFormat="1" ht="60" x14ac:dyDescent="0.2">
      <c r="A471" s="41">
        <v>357</v>
      </c>
      <c r="B471" s="94" t="s">
        <v>51</v>
      </c>
      <c r="C471" s="59"/>
      <c r="D471" s="59"/>
      <c r="E471" s="59"/>
      <c r="F471" s="59"/>
      <c r="G471" s="59"/>
      <c r="H471" s="59"/>
      <c r="I471" s="59"/>
      <c r="J471" s="79"/>
      <c r="K471" s="41"/>
    </row>
    <row r="472" spans="1:11" s="38" customFormat="1" ht="12" x14ac:dyDescent="0.2">
      <c r="A472" s="41">
        <v>358</v>
      </c>
      <c r="B472" s="94" t="s">
        <v>10</v>
      </c>
      <c r="C472" s="59">
        <f>SUM(D472:I472)</f>
        <v>0</v>
      </c>
      <c r="D472" s="59"/>
      <c r="E472" s="59"/>
      <c r="F472" s="59"/>
      <c r="G472" s="59"/>
      <c r="H472" s="59"/>
      <c r="I472" s="59"/>
      <c r="J472" s="79"/>
      <c r="K472" s="41"/>
    </row>
    <row r="473" spans="1:11" s="38" customFormat="1" ht="12" x14ac:dyDescent="0.2">
      <c r="A473" s="41">
        <v>359</v>
      </c>
      <c r="B473" s="94" t="s">
        <v>11</v>
      </c>
      <c r="C473" s="59">
        <f>SUM(D473:I473)</f>
        <v>0</v>
      </c>
      <c r="D473" s="59"/>
      <c r="E473" s="59"/>
      <c r="F473" s="59"/>
      <c r="G473" s="59"/>
      <c r="H473" s="59"/>
      <c r="I473" s="59"/>
      <c r="J473" s="79"/>
      <c r="K473" s="41"/>
    </row>
    <row r="474" spans="1:11" s="38" customFormat="1" ht="12" x14ac:dyDescent="0.2">
      <c r="A474" s="41">
        <v>360</v>
      </c>
      <c r="B474" s="94" t="s">
        <v>12</v>
      </c>
      <c r="C474" s="59">
        <f>SUM(D474:I474)</f>
        <v>0</v>
      </c>
      <c r="D474" s="59"/>
      <c r="E474" s="59"/>
      <c r="F474" s="59"/>
      <c r="G474" s="59"/>
      <c r="H474" s="59"/>
      <c r="I474" s="59"/>
      <c r="J474" s="79"/>
      <c r="K474" s="41"/>
    </row>
    <row r="475" spans="1:11" s="38" customFormat="1" ht="48" x14ac:dyDescent="0.2">
      <c r="A475" s="41">
        <v>361</v>
      </c>
      <c r="B475" s="94" t="s">
        <v>52</v>
      </c>
      <c r="C475" s="59"/>
      <c r="D475" s="59"/>
      <c r="E475" s="59"/>
      <c r="F475" s="59"/>
      <c r="G475" s="59"/>
      <c r="H475" s="59"/>
      <c r="I475" s="59"/>
      <c r="J475" s="79"/>
      <c r="K475" s="41"/>
    </row>
    <row r="476" spans="1:11" s="38" customFormat="1" ht="12" x14ac:dyDescent="0.2">
      <c r="A476" s="41">
        <v>362</v>
      </c>
      <c r="B476" s="94" t="s">
        <v>10</v>
      </c>
      <c r="C476" s="59">
        <f>SUM(D476:I476)</f>
        <v>0</v>
      </c>
      <c r="D476" s="59"/>
      <c r="E476" s="59"/>
      <c r="F476" s="59"/>
      <c r="G476" s="59"/>
      <c r="H476" s="59"/>
      <c r="I476" s="59"/>
      <c r="J476" s="79"/>
      <c r="K476" s="41"/>
    </row>
    <row r="477" spans="1:11" s="38" customFormat="1" ht="12" x14ac:dyDescent="0.2">
      <c r="A477" s="41">
        <v>363</v>
      </c>
      <c r="B477" s="94" t="s">
        <v>11</v>
      </c>
      <c r="C477" s="59">
        <f>SUM(D477:I477)</f>
        <v>0</v>
      </c>
      <c r="D477" s="59"/>
      <c r="E477" s="59"/>
      <c r="F477" s="59"/>
      <c r="G477" s="59"/>
      <c r="H477" s="59"/>
      <c r="I477" s="59"/>
      <c r="J477" s="79"/>
      <c r="K477" s="41"/>
    </row>
    <row r="478" spans="1:11" s="38" customFormat="1" ht="12" x14ac:dyDescent="0.2">
      <c r="A478" s="41">
        <v>364</v>
      </c>
      <c r="B478" s="94" t="s">
        <v>12</v>
      </c>
      <c r="C478" s="59">
        <f>SUM(D478:I478)</f>
        <v>0</v>
      </c>
      <c r="D478" s="59"/>
      <c r="E478" s="59"/>
      <c r="F478" s="59"/>
      <c r="G478" s="59"/>
      <c r="H478" s="59"/>
      <c r="I478" s="59"/>
      <c r="J478" s="79"/>
      <c r="K478" s="41"/>
    </row>
    <row r="479" spans="1:11" s="38" customFormat="1" ht="96" x14ac:dyDescent="0.2">
      <c r="A479" s="41">
        <v>361</v>
      </c>
      <c r="B479" s="95" t="s">
        <v>197</v>
      </c>
      <c r="C479" s="73">
        <f>SUM(D479:I479)</f>
        <v>3019935.7699999996</v>
      </c>
      <c r="D479" s="73">
        <f t="shared" ref="D479:I479" si="167">SUM(D481:D483)</f>
        <v>309148</v>
      </c>
      <c r="E479" s="73">
        <f t="shared" si="167"/>
        <v>360085.11</v>
      </c>
      <c r="F479" s="73">
        <f t="shared" si="167"/>
        <v>460700.47</v>
      </c>
      <c r="G479" s="73">
        <f t="shared" si="167"/>
        <v>630000.80999999994</v>
      </c>
      <c r="H479" s="73">
        <f t="shared" si="167"/>
        <v>630000.90999999992</v>
      </c>
      <c r="I479" s="73">
        <f t="shared" si="167"/>
        <v>630000.47</v>
      </c>
      <c r="J479" s="54" t="s">
        <v>196</v>
      </c>
      <c r="K479" s="41" t="s">
        <v>149</v>
      </c>
    </row>
    <row r="480" spans="1:11" s="38" customFormat="1" ht="12" x14ac:dyDescent="0.2">
      <c r="A480" s="41">
        <v>362</v>
      </c>
      <c r="B480" s="61" t="s">
        <v>59</v>
      </c>
      <c r="C480" s="69">
        <f>SUM(D480:I480)</f>
        <v>0</v>
      </c>
      <c r="D480" s="69">
        <v>0</v>
      </c>
      <c r="E480" s="69">
        <v>0</v>
      </c>
      <c r="F480" s="69">
        <v>0</v>
      </c>
      <c r="G480" s="69">
        <v>0</v>
      </c>
      <c r="H480" s="69">
        <v>0</v>
      </c>
      <c r="I480" s="69">
        <v>0</v>
      </c>
      <c r="J480" s="79"/>
      <c r="K480" s="41"/>
    </row>
    <row r="481" spans="1:11" s="38" customFormat="1" ht="12" x14ac:dyDescent="0.2">
      <c r="A481" s="41">
        <v>363</v>
      </c>
      <c r="B481" s="94" t="s">
        <v>10</v>
      </c>
      <c r="C481" s="69">
        <f t="shared" ref="C481:C501" si="168">SUM(D481:I481)</f>
        <v>0</v>
      </c>
      <c r="D481" s="69">
        <f t="shared" ref="D481:I481" si="169">(D485+D489+D493)*1000</f>
        <v>0</v>
      </c>
      <c r="E481" s="69">
        <f t="shared" si="169"/>
        <v>0</v>
      </c>
      <c r="F481" s="69">
        <f t="shared" si="169"/>
        <v>0</v>
      </c>
      <c r="G481" s="69">
        <f t="shared" si="169"/>
        <v>0</v>
      </c>
      <c r="H481" s="69">
        <f t="shared" si="169"/>
        <v>0</v>
      </c>
      <c r="I481" s="69">
        <f t="shared" si="169"/>
        <v>0</v>
      </c>
      <c r="J481" s="79"/>
      <c r="K481" s="41"/>
    </row>
    <row r="482" spans="1:11" s="38" customFormat="1" ht="12" x14ac:dyDescent="0.2">
      <c r="A482" s="41">
        <v>364</v>
      </c>
      <c r="B482" s="94" t="s">
        <v>11</v>
      </c>
      <c r="C482" s="69">
        <f t="shared" si="168"/>
        <v>3019935.7699999996</v>
      </c>
      <c r="D482" s="69">
        <f>(D486+D490+D494)*1000-100852</f>
        <v>309148</v>
      </c>
      <c r="E482" s="69">
        <f>(E486+E490+E494)*1000-17057-67857.89-65000</f>
        <v>360085.11</v>
      </c>
      <c r="F482" s="69">
        <f>(F486+F490+F494)*1000+92000.47-40757-83406.52-45136.48</f>
        <v>460700.47</v>
      </c>
      <c r="G482" s="69">
        <f>(G486+G490+G494)*1000+92000.47+0.34</f>
        <v>630000.80999999994</v>
      </c>
      <c r="H482" s="69">
        <f>(H486+H490+H494)*1000+30000.47+0.44</f>
        <v>630000.90999999992</v>
      </c>
      <c r="I482" s="69">
        <f>(I486+I490+I494)*1000-19999.53</f>
        <v>630000.47</v>
      </c>
      <c r="J482" s="79"/>
      <c r="K482" s="41"/>
    </row>
    <row r="483" spans="1:11" s="38" customFormat="1" ht="12" x14ac:dyDescent="0.2">
      <c r="A483" s="41">
        <v>365</v>
      </c>
      <c r="B483" s="94" t="s">
        <v>12</v>
      </c>
      <c r="C483" s="69">
        <f t="shared" si="168"/>
        <v>0</v>
      </c>
      <c r="D483" s="69">
        <f t="shared" ref="D483:I483" si="170">(D487+D491+D495)*1000</f>
        <v>0</v>
      </c>
      <c r="E483" s="69">
        <f t="shared" si="170"/>
        <v>0</v>
      </c>
      <c r="F483" s="69">
        <f t="shared" si="170"/>
        <v>0</v>
      </c>
      <c r="G483" s="69">
        <f t="shared" si="170"/>
        <v>0</v>
      </c>
      <c r="H483" s="69">
        <f t="shared" si="170"/>
        <v>0</v>
      </c>
      <c r="I483" s="69">
        <f t="shared" si="170"/>
        <v>0</v>
      </c>
      <c r="J483" s="79"/>
      <c r="K483" s="41"/>
    </row>
    <row r="484" spans="1:11" s="38" customFormat="1" ht="24" x14ac:dyDescent="0.2">
      <c r="A484" s="41">
        <v>366</v>
      </c>
      <c r="B484" s="61" t="s">
        <v>53</v>
      </c>
      <c r="C484" s="68">
        <f t="shared" si="168"/>
        <v>46</v>
      </c>
      <c r="D484" s="68">
        <f t="shared" ref="D484:I484" si="171">SUM(D485:D487)</f>
        <v>5</v>
      </c>
      <c r="E484" s="68">
        <f t="shared" si="171"/>
        <v>5</v>
      </c>
      <c r="F484" s="68">
        <f t="shared" si="171"/>
        <v>8</v>
      </c>
      <c r="G484" s="68">
        <f t="shared" si="171"/>
        <v>8</v>
      </c>
      <c r="H484" s="68">
        <f t="shared" si="171"/>
        <v>10</v>
      </c>
      <c r="I484" s="68">
        <f t="shared" si="171"/>
        <v>10</v>
      </c>
      <c r="J484" s="79"/>
      <c r="K484" s="41"/>
    </row>
    <row r="485" spans="1:11" s="38" customFormat="1" ht="12" x14ac:dyDescent="0.2">
      <c r="A485" s="41">
        <v>367</v>
      </c>
      <c r="B485" s="61" t="s">
        <v>10</v>
      </c>
      <c r="C485" s="69">
        <f t="shared" si="168"/>
        <v>0</v>
      </c>
      <c r="D485" s="69"/>
      <c r="E485" s="69"/>
      <c r="F485" s="69"/>
      <c r="G485" s="69"/>
      <c r="H485" s="69"/>
      <c r="I485" s="69"/>
      <c r="J485" s="79"/>
      <c r="K485" s="41"/>
    </row>
    <row r="486" spans="1:11" s="38" customFormat="1" ht="12" x14ac:dyDescent="0.2">
      <c r="A486" s="41">
        <v>368</v>
      </c>
      <c r="B486" s="61" t="s">
        <v>11</v>
      </c>
      <c r="C486" s="69">
        <f t="shared" si="168"/>
        <v>46</v>
      </c>
      <c r="D486" s="69">
        <v>5</v>
      </c>
      <c r="E486" s="69">
        <v>5</v>
      </c>
      <c r="F486" s="69">
        <v>8</v>
      </c>
      <c r="G486" s="69">
        <v>8</v>
      </c>
      <c r="H486" s="69">
        <v>10</v>
      </c>
      <c r="I486" s="69">
        <v>10</v>
      </c>
      <c r="J486" s="79"/>
      <c r="K486" s="41"/>
    </row>
    <row r="487" spans="1:11" s="38" customFormat="1" ht="12" x14ac:dyDescent="0.2">
      <c r="A487" s="41">
        <v>369</v>
      </c>
      <c r="B487" s="61" t="s">
        <v>12</v>
      </c>
      <c r="C487" s="69">
        <f t="shared" si="168"/>
        <v>0</v>
      </c>
      <c r="D487" s="69"/>
      <c r="E487" s="69"/>
      <c r="F487" s="69"/>
      <c r="G487" s="69"/>
      <c r="H487" s="69"/>
      <c r="I487" s="69"/>
      <c r="J487" s="79"/>
      <c r="K487" s="41"/>
    </row>
    <row r="488" spans="1:11" s="38" customFormat="1" ht="60" x14ac:dyDescent="0.2">
      <c r="A488" s="41">
        <v>370</v>
      </c>
      <c r="B488" s="61" t="s">
        <v>54</v>
      </c>
      <c r="C488" s="68">
        <f t="shared" si="168"/>
        <v>3010</v>
      </c>
      <c r="D488" s="68">
        <f t="shared" ref="D488:I488" si="172">SUM(D489:D491)</f>
        <v>380</v>
      </c>
      <c r="E488" s="68">
        <f t="shared" si="172"/>
        <v>480</v>
      </c>
      <c r="F488" s="68">
        <f t="shared" si="172"/>
        <v>500</v>
      </c>
      <c r="G488" s="68">
        <f t="shared" si="172"/>
        <v>500</v>
      </c>
      <c r="H488" s="68">
        <f t="shared" si="172"/>
        <v>550</v>
      </c>
      <c r="I488" s="68">
        <f t="shared" si="172"/>
        <v>600</v>
      </c>
      <c r="J488" s="79"/>
      <c r="K488" s="41"/>
    </row>
    <row r="489" spans="1:11" s="38" customFormat="1" ht="12" x14ac:dyDescent="0.2">
      <c r="A489" s="41">
        <v>371</v>
      </c>
      <c r="B489" s="61" t="s">
        <v>10</v>
      </c>
      <c r="C489" s="69">
        <f t="shared" si="168"/>
        <v>0</v>
      </c>
      <c r="D489" s="69"/>
      <c r="E489" s="69"/>
      <c r="F489" s="69"/>
      <c r="G489" s="69"/>
      <c r="H489" s="69"/>
      <c r="I489" s="69"/>
      <c r="J489" s="79"/>
      <c r="K489" s="41"/>
    </row>
    <row r="490" spans="1:11" s="38" customFormat="1" ht="12" x14ac:dyDescent="0.2">
      <c r="A490" s="41">
        <v>372</v>
      </c>
      <c r="B490" s="61" t="s">
        <v>11</v>
      </c>
      <c r="C490" s="69">
        <f t="shared" si="168"/>
        <v>3010</v>
      </c>
      <c r="D490" s="69">
        <f>460-80</f>
        <v>380</v>
      </c>
      <c r="E490" s="69">
        <v>480</v>
      </c>
      <c r="F490" s="69">
        <v>500</v>
      </c>
      <c r="G490" s="69">
        <v>500</v>
      </c>
      <c r="H490" s="69">
        <v>550</v>
      </c>
      <c r="I490" s="69">
        <v>600</v>
      </c>
      <c r="J490" s="79"/>
      <c r="K490" s="41"/>
    </row>
    <row r="491" spans="1:11" s="38" customFormat="1" ht="12" x14ac:dyDescent="0.2">
      <c r="A491" s="41">
        <v>373</v>
      </c>
      <c r="B491" s="61" t="s">
        <v>12</v>
      </c>
      <c r="C491" s="69">
        <f t="shared" si="168"/>
        <v>0</v>
      </c>
      <c r="D491" s="69"/>
      <c r="E491" s="69"/>
      <c r="F491" s="69"/>
      <c r="G491" s="69"/>
      <c r="H491" s="69"/>
      <c r="I491" s="69"/>
      <c r="J491" s="79"/>
      <c r="K491" s="41"/>
    </row>
    <row r="492" spans="1:11" s="38" customFormat="1" ht="24" x14ac:dyDescent="0.2">
      <c r="A492" s="41">
        <v>374</v>
      </c>
      <c r="B492" s="61" t="s">
        <v>55</v>
      </c>
      <c r="C492" s="68">
        <f t="shared" si="168"/>
        <v>190</v>
      </c>
      <c r="D492" s="68">
        <f t="shared" ref="D492:I492" si="173">SUM(D493:D495)</f>
        <v>25</v>
      </c>
      <c r="E492" s="68">
        <f t="shared" si="173"/>
        <v>25</v>
      </c>
      <c r="F492" s="68">
        <f t="shared" si="173"/>
        <v>30</v>
      </c>
      <c r="G492" s="68">
        <f t="shared" si="173"/>
        <v>30</v>
      </c>
      <c r="H492" s="68">
        <f t="shared" si="173"/>
        <v>40</v>
      </c>
      <c r="I492" s="68">
        <f t="shared" si="173"/>
        <v>40</v>
      </c>
      <c r="J492" s="79"/>
      <c r="K492" s="41"/>
    </row>
    <row r="493" spans="1:11" s="38" customFormat="1" ht="12" x14ac:dyDescent="0.2">
      <c r="A493" s="41">
        <v>375</v>
      </c>
      <c r="B493" s="61" t="s">
        <v>10</v>
      </c>
      <c r="C493" s="69">
        <f t="shared" si="168"/>
        <v>0</v>
      </c>
      <c r="D493" s="69"/>
      <c r="E493" s="69"/>
      <c r="F493" s="69"/>
      <c r="G493" s="69"/>
      <c r="H493" s="69"/>
      <c r="I493" s="69"/>
      <c r="J493" s="79"/>
      <c r="K493" s="41"/>
    </row>
    <row r="494" spans="1:11" s="38" customFormat="1" ht="12" x14ac:dyDescent="0.2">
      <c r="A494" s="41">
        <v>376</v>
      </c>
      <c r="B494" s="61" t="s">
        <v>11</v>
      </c>
      <c r="C494" s="69">
        <f t="shared" si="168"/>
        <v>190</v>
      </c>
      <c r="D494" s="69">
        <v>25</v>
      </c>
      <c r="E494" s="69">
        <v>25</v>
      </c>
      <c r="F494" s="69">
        <v>30</v>
      </c>
      <c r="G494" s="69">
        <v>30</v>
      </c>
      <c r="H494" s="69">
        <v>40</v>
      </c>
      <c r="I494" s="69">
        <v>40</v>
      </c>
      <c r="J494" s="79"/>
      <c r="K494" s="41"/>
    </row>
    <row r="495" spans="1:11" s="38" customFormat="1" ht="12" x14ac:dyDescent="0.2">
      <c r="A495" s="41">
        <v>377</v>
      </c>
      <c r="B495" s="61" t="s">
        <v>12</v>
      </c>
      <c r="C495" s="69">
        <f t="shared" si="168"/>
        <v>0</v>
      </c>
      <c r="D495" s="69"/>
      <c r="E495" s="69"/>
      <c r="F495" s="69"/>
      <c r="G495" s="69"/>
      <c r="H495" s="69"/>
      <c r="I495" s="69"/>
      <c r="J495" s="79"/>
      <c r="K495" s="41"/>
    </row>
    <row r="496" spans="1:11" s="38" customFormat="1" ht="72" x14ac:dyDescent="0.2">
      <c r="A496" s="41">
        <v>366</v>
      </c>
      <c r="B496" s="65" t="s">
        <v>198</v>
      </c>
      <c r="C496" s="76">
        <f>SUM(C497:C500)</f>
        <v>10000</v>
      </c>
      <c r="D496" s="76">
        <f t="shared" ref="D496:I496" si="174">SUM(D497:D500)</f>
        <v>0</v>
      </c>
      <c r="E496" s="76">
        <f t="shared" si="174"/>
        <v>0</v>
      </c>
      <c r="F496" s="76">
        <f t="shared" si="174"/>
        <v>10000</v>
      </c>
      <c r="G496" s="76">
        <f t="shared" si="174"/>
        <v>0</v>
      </c>
      <c r="H496" s="76">
        <f t="shared" si="174"/>
        <v>0</v>
      </c>
      <c r="I496" s="76">
        <f t="shared" si="174"/>
        <v>0</v>
      </c>
      <c r="J496" s="54" t="s">
        <v>196</v>
      </c>
      <c r="K496" s="41" t="s">
        <v>149</v>
      </c>
    </row>
    <row r="497" spans="1:11" s="38" customFormat="1" ht="12" x14ac:dyDescent="0.2">
      <c r="A497" s="41">
        <v>367</v>
      </c>
      <c r="B497" s="61" t="s">
        <v>59</v>
      </c>
      <c r="C497" s="69">
        <f>SUM(D497:I497)</f>
        <v>0</v>
      </c>
      <c r="D497" s="69">
        <v>0</v>
      </c>
      <c r="E497" s="69">
        <v>0</v>
      </c>
      <c r="F497" s="69">
        <v>0</v>
      </c>
      <c r="G497" s="69">
        <v>0</v>
      </c>
      <c r="H497" s="69">
        <v>0</v>
      </c>
      <c r="I497" s="69">
        <v>0</v>
      </c>
      <c r="J497" s="79"/>
      <c r="K497" s="41"/>
    </row>
    <row r="498" spans="1:11" s="38" customFormat="1" ht="12" x14ac:dyDescent="0.2">
      <c r="A498" s="41">
        <v>368</v>
      </c>
      <c r="B498" s="94" t="s">
        <v>10</v>
      </c>
      <c r="C498" s="69">
        <f t="shared" ref="C498:C500" si="175">SUM(D498:I498)</f>
        <v>0</v>
      </c>
      <c r="D498" s="69">
        <v>0</v>
      </c>
      <c r="E498" s="69">
        <v>0</v>
      </c>
      <c r="F498" s="69">
        <v>0</v>
      </c>
      <c r="G498" s="69">
        <v>0</v>
      </c>
      <c r="H498" s="69">
        <v>0</v>
      </c>
      <c r="I498" s="69">
        <v>0</v>
      </c>
      <c r="J498" s="79"/>
      <c r="K498" s="41"/>
    </row>
    <row r="499" spans="1:11" s="38" customFormat="1" ht="12" x14ac:dyDescent="0.2">
      <c r="A499" s="41">
        <v>369</v>
      </c>
      <c r="B499" s="94" t="s">
        <v>11</v>
      </c>
      <c r="C499" s="69">
        <f t="shared" si="175"/>
        <v>10000</v>
      </c>
      <c r="D499" s="69">
        <v>0</v>
      </c>
      <c r="E499" s="69">
        <v>0</v>
      </c>
      <c r="F499" s="69">
        <v>10000</v>
      </c>
      <c r="G499" s="69">
        <v>0</v>
      </c>
      <c r="H499" s="69">
        <v>0</v>
      </c>
      <c r="I499" s="69">
        <v>0</v>
      </c>
      <c r="J499" s="79"/>
      <c r="K499" s="41"/>
    </row>
    <row r="500" spans="1:11" s="38" customFormat="1" ht="12" x14ac:dyDescent="0.2">
      <c r="A500" s="41">
        <v>370</v>
      </c>
      <c r="B500" s="94" t="s">
        <v>12</v>
      </c>
      <c r="C500" s="69">
        <f t="shared" si="175"/>
        <v>0</v>
      </c>
      <c r="D500" s="69">
        <v>0</v>
      </c>
      <c r="E500" s="69">
        <v>0</v>
      </c>
      <c r="F500" s="69">
        <v>0</v>
      </c>
      <c r="G500" s="69">
        <v>0</v>
      </c>
      <c r="H500" s="69">
        <v>0</v>
      </c>
      <c r="I500" s="69">
        <v>0</v>
      </c>
      <c r="J500" s="79"/>
      <c r="K500" s="41"/>
    </row>
    <row r="501" spans="1:11" s="38" customFormat="1" ht="84" x14ac:dyDescent="0.2">
      <c r="A501" s="41">
        <v>371</v>
      </c>
      <c r="B501" s="65" t="s">
        <v>199</v>
      </c>
      <c r="C501" s="73">
        <f t="shared" si="168"/>
        <v>0</v>
      </c>
      <c r="D501" s="73">
        <f t="shared" ref="D501:I501" si="176">SUM(D503:D505)</f>
        <v>0</v>
      </c>
      <c r="E501" s="73">
        <f t="shared" si="176"/>
        <v>0</v>
      </c>
      <c r="F501" s="73">
        <f t="shared" si="176"/>
        <v>0</v>
      </c>
      <c r="G501" s="73">
        <f t="shared" si="176"/>
        <v>0</v>
      </c>
      <c r="H501" s="73">
        <f t="shared" si="176"/>
        <v>0</v>
      </c>
      <c r="I501" s="73">
        <f t="shared" si="176"/>
        <v>0</v>
      </c>
      <c r="J501" s="54" t="s">
        <v>196</v>
      </c>
      <c r="K501" s="41" t="s">
        <v>149</v>
      </c>
    </row>
    <row r="502" spans="1:11" s="38" customFormat="1" ht="12" x14ac:dyDescent="0.2">
      <c r="A502" s="41">
        <v>372</v>
      </c>
      <c r="B502" s="61" t="s">
        <v>59</v>
      </c>
      <c r="C502" s="61">
        <f>SUM(D502:I502)</f>
        <v>0</v>
      </c>
      <c r="D502" s="61">
        <v>0</v>
      </c>
      <c r="E502" s="61">
        <v>0</v>
      </c>
      <c r="F502" s="61">
        <v>0</v>
      </c>
      <c r="G502" s="61">
        <v>0</v>
      </c>
      <c r="H502" s="61">
        <v>0</v>
      </c>
      <c r="I502" s="61">
        <v>0</v>
      </c>
      <c r="J502" s="79"/>
      <c r="K502" s="41"/>
    </row>
    <row r="503" spans="1:11" s="38" customFormat="1" ht="12" x14ac:dyDescent="0.2">
      <c r="A503" s="41">
        <v>373</v>
      </c>
      <c r="B503" s="61" t="s">
        <v>10</v>
      </c>
      <c r="C503" s="61">
        <f t="shared" ref="C503:C517" si="177">SUM(D503:I503)</f>
        <v>0</v>
      </c>
      <c r="D503" s="61">
        <f t="shared" ref="D503:I503" si="178">(D507+D511+D515)*1000</f>
        <v>0</v>
      </c>
      <c r="E503" s="61">
        <f t="shared" si="178"/>
        <v>0</v>
      </c>
      <c r="F503" s="61">
        <f t="shared" si="178"/>
        <v>0</v>
      </c>
      <c r="G503" s="61">
        <f t="shared" si="178"/>
        <v>0</v>
      </c>
      <c r="H503" s="61">
        <f t="shared" si="178"/>
        <v>0</v>
      </c>
      <c r="I503" s="61">
        <f t="shared" si="178"/>
        <v>0</v>
      </c>
      <c r="J503" s="79"/>
      <c r="K503" s="41"/>
    </row>
    <row r="504" spans="1:11" s="38" customFormat="1" ht="12" x14ac:dyDescent="0.2">
      <c r="A504" s="41">
        <v>374</v>
      </c>
      <c r="B504" s="61" t="s">
        <v>11</v>
      </c>
      <c r="C504" s="61">
        <f t="shared" si="177"/>
        <v>0</v>
      </c>
      <c r="D504" s="61">
        <f>(D508+D512+D516)*1000-25000</f>
        <v>0</v>
      </c>
      <c r="E504" s="61">
        <f>(E508+E512+E516)*1000-27000</f>
        <v>0</v>
      </c>
      <c r="F504" s="61">
        <f>(F508+F512+F516)*1000-7000</f>
        <v>0</v>
      </c>
      <c r="G504" s="61">
        <f>(G508+G512+G516)*1000-34000</f>
        <v>0</v>
      </c>
      <c r="H504" s="61">
        <f>(H508+H512+H516)*1000-9000</f>
        <v>0</v>
      </c>
      <c r="I504" s="61">
        <f>(I508+I512+I516)*1000-40000</f>
        <v>0</v>
      </c>
      <c r="J504" s="79"/>
      <c r="K504" s="41"/>
    </row>
    <row r="505" spans="1:11" s="38" customFormat="1" ht="12" x14ac:dyDescent="0.2">
      <c r="A505" s="41">
        <v>375</v>
      </c>
      <c r="B505" s="61" t="s">
        <v>12</v>
      </c>
      <c r="C505" s="61">
        <f t="shared" si="177"/>
        <v>0</v>
      </c>
      <c r="D505" s="61">
        <f t="shared" ref="D505:I505" si="179">(D509+D513+D517)*1000</f>
        <v>0</v>
      </c>
      <c r="E505" s="61">
        <f t="shared" si="179"/>
        <v>0</v>
      </c>
      <c r="F505" s="61">
        <f t="shared" si="179"/>
        <v>0</v>
      </c>
      <c r="G505" s="61">
        <f t="shared" si="179"/>
        <v>0</v>
      </c>
      <c r="H505" s="61">
        <f t="shared" si="179"/>
        <v>0</v>
      </c>
      <c r="I505" s="61">
        <f t="shared" si="179"/>
        <v>0</v>
      </c>
      <c r="J505" s="79"/>
      <c r="K505" s="41"/>
    </row>
    <row r="506" spans="1:11" s="38" customFormat="1" ht="60" x14ac:dyDescent="0.2">
      <c r="A506" s="41">
        <v>364</v>
      </c>
      <c r="B506" s="61" t="s">
        <v>56</v>
      </c>
      <c r="C506" s="59">
        <f t="shared" si="177"/>
        <v>0</v>
      </c>
      <c r="D506" s="59">
        <f t="shared" ref="D506:I506" si="180">SUM(D507:D509)</f>
        <v>0</v>
      </c>
      <c r="E506" s="59">
        <f t="shared" si="180"/>
        <v>0</v>
      </c>
      <c r="F506" s="59">
        <f t="shared" si="180"/>
        <v>0</v>
      </c>
      <c r="G506" s="59">
        <f t="shared" si="180"/>
        <v>0</v>
      </c>
      <c r="H506" s="59">
        <f t="shared" si="180"/>
        <v>0</v>
      </c>
      <c r="I506" s="59">
        <f t="shared" si="180"/>
        <v>0</v>
      </c>
      <c r="J506" s="79"/>
      <c r="K506" s="41"/>
    </row>
    <row r="507" spans="1:11" s="38" customFormat="1" ht="12" x14ac:dyDescent="0.2">
      <c r="A507" s="41">
        <v>365</v>
      </c>
      <c r="B507" s="61" t="s">
        <v>10</v>
      </c>
      <c r="C507" s="59">
        <f t="shared" si="177"/>
        <v>0</v>
      </c>
      <c r="D507" s="59"/>
      <c r="E507" s="59"/>
      <c r="F507" s="59"/>
      <c r="G507" s="59"/>
      <c r="H507" s="59"/>
      <c r="I507" s="59"/>
      <c r="J507" s="79"/>
      <c r="K507" s="41"/>
    </row>
    <row r="508" spans="1:11" s="38" customFormat="1" ht="12" x14ac:dyDescent="0.2">
      <c r="A508" s="41">
        <v>356</v>
      </c>
      <c r="B508" s="61" t="s">
        <v>11</v>
      </c>
      <c r="C508" s="59">
        <f t="shared" si="177"/>
        <v>0</v>
      </c>
      <c r="D508" s="59"/>
      <c r="E508" s="59"/>
      <c r="F508" s="59"/>
      <c r="G508" s="59"/>
      <c r="H508" s="59"/>
      <c r="I508" s="59"/>
      <c r="J508" s="79"/>
      <c r="K508" s="41"/>
    </row>
    <row r="509" spans="1:11" s="38" customFormat="1" ht="12" x14ac:dyDescent="0.2">
      <c r="A509" s="41">
        <v>357</v>
      </c>
      <c r="B509" s="61" t="s">
        <v>12</v>
      </c>
      <c r="C509" s="59">
        <f t="shared" si="177"/>
        <v>0</v>
      </c>
      <c r="D509" s="59"/>
      <c r="E509" s="59"/>
      <c r="F509" s="59"/>
      <c r="G509" s="59"/>
      <c r="H509" s="59"/>
      <c r="I509" s="59"/>
      <c r="J509" s="79"/>
      <c r="K509" s="41"/>
    </row>
    <row r="510" spans="1:11" s="38" customFormat="1" ht="60" x14ac:dyDescent="0.2">
      <c r="A510" s="41">
        <v>358</v>
      </c>
      <c r="B510" s="61" t="s">
        <v>57</v>
      </c>
      <c r="C510" s="59">
        <f t="shared" si="177"/>
        <v>95</v>
      </c>
      <c r="D510" s="87">
        <f t="shared" ref="D510:I510" si="181">SUM(D511:D513)</f>
        <v>20</v>
      </c>
      <c r="E510" s="87">
        <f t="shared" si="181"/>
        <v>20</v>
      </c>
      <c r="F510" s="87">
        <f t="shared" si="181"/>
        <v>0</v>
      </c>
      <c r="G510" s="87">
        <f t="shared" si="181"/>
        <v>25</v>
      </c>
      <c r="H510" s="87">
        <f t="shared" si="181"/>
        <v>0</v>
      </c>
      <c r="I510" s="87">
        <f t="shared" si="181"/>
        <v>30</v>
      </c>
      <c r="J510" s="79"/>
      <c r="K510" s="41"/>
    </row>
    <row r="511" spans="1:11" s="38" customFormat="1" ht="12" x14ac:dyDescent="0.2">
      <c r="A511" s="41">
        <v>359</v>
      </c>
      <c r="B511" s="61" t="s">
        <v>10</v>
      </c>
      <c r="C511" s="59">
        <f t="shared" si="177"/>
        <v>0</v>
      </c>
      <c r="D511" s="59"/>
      <c r="E511" s="59"/>
      <c r="F511" s="59"/>
      <c r="G511" s="59"/>
      <c r="H511" s="59"/>
      <c r="I511" s="59"/>
      <c r="J511" s="79"/>
      <c r="K511" s="41"/>
    </row>
    <row r="512" spans="1:11" s="38" customFormat="1" ht="12" x14ac:dyDescent="0.2">
      <c r="A512" s="41">
        <v>360</v>
      </c>
      <c r="B512" s="61" t="s">
        <v>11</v>
      </c>
      <c r="C512" s="59">
        <f t="shared" si="177"/>
        <v>95</v>
      </c>
      <c r="D512" s="59">
        <v>20</v>
      </c>
      <c r="E512" s="59">
        <v>20</v>
      </c>
      <c r="F512" s="59"/>
      <c r="G512" s="59">
        <v>25</v>
      </c>
      <c r="H512" s="59"/>
      <c r="I512" s="59">
        <v>30</v>
      </c>
      <c r="J512" s="79"/>
      <c r="K512" s="41"/>
    </row>
    <row r="513" spans="1:11" s="38" customFormat="1" ht="12" x14ac:dyDescent="0.2">
      <c r="A513" s="41">
        <v>361</v>
      </c>
      <c r="B513" s="61" t="s">
        <v>12</v>
      </c>
      <c r="C513" s="59">
        <f t="shared" si="177"/>
        <v>0</v>
      </c>
      <c r="D513" s="59"/>
      <c r="E513" s="59"/>
      <c r="F513" s="59"/>
      <c r="G513" s="59"/>
      <c r="H513" s="59"/>
      <c r="I513" s="59"/>
      <c r="J513" s="79"/>
      <c r="K513" s="41"/>
    </row>
    <row r="514" spans="1:11" s="38" customFormat="1" ht="60" x14ac:dyDescent="0.2">
      <c r="A514" s="41">
        <v>362</v>
      </c>
      <c r="B514" s="61" t="s">
        <v>58</v>
      </c>
      <c r="C514" s="59">
        <f t="shared" si="177"/>
        <v>47</v>
      </c>
      <c r="D514" s="87">
        <f t="shared" ref="D514:I514" si="182">SUM(D515:D517)</f>
        <v>5</v>
      </c>
      <c r="E514" s="87">
        <f t="shared" si="182"/>
        <v>7</v>
      </c>
      <c r="F514" s="87">
        <f t="shared" si="182"/>
        <v>7</v>
      </c>
      <c r="G514" s="87">
        <f t="shared" si="182"/>
        <v>9</v>
      </c>
      <c r="H514" s="87">
        <f t="shared" si="182"/>
        <v>9</v>
      </c>
      <c r="I514" s="87">
        <f t="shared" si="182"/>
        <v>10</v>
      </c>
      <c r="J514" s="79"/>
      <c r="K514" s="41"/>
    </row>
    <row r="515" spans="1:11" s="38" customFormat="1" ht="12" x14ac:dyDescent="0.2">
      <c r="A515" s="41">
        <v>363</v>
      </c>
      <c r="B515" s="61" t="s">
        <v>10</v>
      </c>
      <c r="C515" s="59">
        <f t="shared" si="177"/>
        <v>0</v>
      </c>
      <c r="D515" s="59"/>
      <c r="E515" s="59"/>
      <c r="F515" s="59"/>
      <c r="G515" s="59"/>
      <c r="H515" s="59"/>
      <c r="I515" s="59"/>
      <c r="J515" s="79"/>
      <c r="K515" s="41"/>
    </row>
    <row r="516" spans="1:11" s="38" customFormat="1" ht="12" x14ac:dyDescent="0.2">
      <c r="A516" s="41">
        <v>364</v>
      </c>
      <c r="B516" s="61" t="s">
        <v>11</v>
      </c>
      <c r="C516" s="59">
        <f t="shared" si="177"/>
        <v>47</v>
      </c>
      <c r="D516" s="59">
        <v>5</v>
      </c>
      <c r="E516" s="59">
        <v>7</v>
      </c>
      <c r="F516" s="59">
        <v>7</v>
      </c>
      <c r="G516" s="59">
        <v>9</v>
      </c>
      <c r="H516" s="59">
        <v>9</v>
      </c>
      <c r="I516" s="59">
        <v>10</v>
      </c>
      <c r="J516" s="79"/>
      <c r="K516" s="41"/>
    </row>
    <row r="517" spans="1:11" s="38" customFormat="1" ht="12" x14ac:dyDescent="0.2">
      <c r="A517" s="41">
        <v>365</v>
      </c>
      <c r="B517" s="61" t="s">
        <v>12</v>
      </c>
      <c r="C517" s="59">
        <f t="shared" si="177"/>
        <v>0</v>
      </c>
      <c r="D517" s="59"/>
      <c r="E517" s="59"/>
      <c r="F517" s="59"/>
      <c r="G517" s="59"/>
      <c r="H517" s="59"/>
      <c r="I517" s="59"/>
      <c r="J517" s="79"/>
      <c r="K517" s="41"/>
    </row>
    <row r="518" spans="1:11" s="38" customFormat="1" ht="12" x14ac:dyDescent="0.2">
      <c r="A518" s="41">
        <v>376</v>
      </c>
      <c r="B518" s="215" t="s">
        <v>18</v>
      </c>
      <c r="C518" s="216"/>
      <c r="D518" s="216"/>
      <c r="E518" s="216"/>
      <c r="F518" s="216"/>
      <c r="G518" s="216"/>
      <c r="H518" s="216"/>
      <c r="I518" s="216"/>
      <c r="J518" s="217"/>
      <c r="K518" s="41"/>
    </row>
    <row r="519" spans="1:11" s="38" customFormat="1" ht="12" x14ac:dyDescent="0.2">
      <c r="A519" s="41">
        <v>377</v>
      </c>
      <c r="B519" s="57" t="s">
        <v>14</v>
      </c>
      <c r="C519" s="68">
        <f>SUM(D519:I519)</f>
        <v>46791772.259999998</v>
      </c>
      <c r="D519" s="68">
        <f t="shared" ref="D519:I519" si="183">SUM(D521:D523)</f>
        <v>7816954.1299999999</v>
      </c>
      <c r="E519" s="68">
        <f t="shared" si="183"/>
        <v>7540589.29</v>
      </c>
      <c r="F519" s="68">
        <f t="shared" si="183"/>
        <v>8281860.8399999999</v>
      </c>
      <c r="G519" s="68">
        <f t="shared" si="183"/>
        <v>7697456</v>
      </c>
      <c r="H519" s="68">
        <f t="shared" si="183"/>
        <v>7717456</v>
      </c>
      <c r="I519" s="68">
        <f t="shared" si="183"/>
        <v>7737456</v>
      </c>
      <c r="J519" s="54"/>
      <c r="K519" s="41"/>
    </row>
    <row r="520" spans="1:11" s="38" customFormat="1" ht="12" x14ac:dyDescent="0.2">
      <c r="A520" s="41">
        <v>378</v>
      </c>
      <c r="B520" s="61" t="s">
        <v>59</v>
      </c>
      <c r="C520" s="69">
        <f>SUM(D520:I520)</f>
        <v>0</v>
      </c>
      <c r="D520" s="69">
        <f>D526+D544</f>
        <v>0</v>
      </c>
      <c r="E520" s="69">
        <f t="shared" ref="E520:I523" si="184">E526+E544</f>
        <v>0</v>
      </c>
      <c r="F520" s="69">
        <f t="shared" si="184"/>
        <v>0</v>
      </c>
      <c r="G520" s="69">
        <f t="shared" si="184"/>
        <v>0</v>
      </c>
      <c r="H520" s="69">
        <f t="shared" si="184"/>
        <v>0</v>
      </c>
      <c r="I520" s="69">
        <f t="shared" si="184"/>
        <v>0</v>
      </c>
      <c r="J520" s="54"/>
      <c r="K520" s="41"/>
    </row>
    <row r="521" spans="1:11" s="38" customFormat="1" ht="12" x14ac:dyDescent="0.2">
      <c r="A521" s="41">
        <v>379</v>
      </c>
      <c r="B521" s="61" t="s">
        <v>10</v>
      </c>
      <c r="C521" s="69">
        <f>SUM(D521:I521)</f>
        <v>0</v>
      </c>
      <c r="D521" s="69">
        <f>D527+D545</f>
        <v>0</v>
      </c>
      <c r="E521" s="69">
        <f t="shared" si="184"/>
        <v>0</v>
      </c>
      <c r="F521" s="69">
        <f t="shared" si="184"/>
        <v>0</v>
      </c>
      <c r="G521" s="69">
        <f t="shared" si="184"/>
        <v>0</v>
      </c>
      <c r="H521" s="69">
        <f t="shared" si="184"/>
        <v>0</v>
      </c>
      <c r="I521" s="69">
        <f t="shared" si="184"/>
        <v>0</v>
      </c>
      <c r="J521" s="54"/>
      <c r="K521" s="41"/>
    </row>
    <row r="522" spans="1:11" s="38" customFormat="1" ht="12" x14ac:dyDescent="0.2">
      <c r="A522" s="41">
        <v>380</v>
      </c>
      <c r="B522" s="61" t="s">
        <v>11</v>
      </c>
      <c r="C522" s="61">
        <f>SUM(D522:I522)</f>
        <v>46791772.259999998</v>
      </c>
      <c r="D522" s="61">
        <f>D528+D546</f>
        <v>7816954.1299999999</v>
      </c>
      <c r="E522" s="61">
        <f t="shared" si="184"/>
        <v>7540589.29</v>
      </c>
      <c r="F522" s="61">
        <f t="shared" si="184"/>
        <v>8281860.8399999999</v>
      </c>
      <c r="G522" s="61">
        <f t="shared" si="184"/>
        <v>7697456</v>
      </c>
      <c r="H522" s="61">
        <f t="shared" si="184"/>
        <v>7717456</v>
      </c>
      <c r="I522" s="61">
        <f t="shared" si="184"/>
        <v>7737456</v>
      </c>
      <c r="J522" s="54"/>
      <c r="K522" s="41"/>
    </row>
    <row r="523" spans="1:11" s="38" customFormat="1" ht="12" x14ac:dyDescent="0.2">
      <c r="A523" s="41">
        <v>381</v>
      </c>
      <c r="B523" s="61" t="s">
        <v>12</v>
      </c>
      <c r="C523" s="61">
        <f>SUM(D523:I523)</f>
        <v>0</v>
      </c>
      <c r="D523" s="61">
        <f>D529+D547</f>
        <v>0</v>
      </c>
      <c r="E523" s="61">
        <f t="shared" si="184"/>
        <v>0</v>
      </c>
      <c r="F523" s="61">
        <f t="shared" si="184"/>
        <v>0</v>
      </c>
      <c r="G523" s="61">
        <f t="shared" si="184"/>
        <v>0</v>
      </c>
      <c r="H523" s="61">
        <f t="shared" si="184"/>
        <v>0</v>
      </c>
      <c r="I523" s="61">
        <f t="shared" si="184"/>
        <v>0</v>
      </c>
      <c r="J523" s="54"/>
      <c r="K523" s="41"/>
    </row>
    <row r="524" spans="1:11" s="38" customFormat="1" ht="12" x14ac:dyDescent="0.2">
      <c r="A524" s="41">
        <v>382</v>
      </c>
      <c r="B524" s="215" t="s">
        <v>60</v>
      </c>
      <c r="C524" s="216"/>
      <c r="D524" s="216"/>
      <c r="E524" s="216"/>
      <c r="F524" s="216"/>
      <c r="G524" s="216"/>
      <c r="H524" s="216"/>
      <c r="I524" s="216"/>
      <c r="J524" s="217"/>
      <c r="K524" s="41"/>
    </row>
    <row r="525" spans="1:11" s="38" customFormat="1" ht="36" x14ac:dyDescent="0.2">
      <c r="A525" s="41">
        <v>383</v>
      </c>
      <c r="B525" s="82" t="s">
        <v>62</v>
      </c>
      <c r="C525" s="87">
        <f>SUM(D525:I525)</f>
        <v>0</v>
      </c>
      <c r="D525" s="68">
        <f t="shared" ref="D525:I525" si="185">SUM(D527:D529)</f>
        <v>0</v>
      </c>
      <c r="E525" s="68">
        <f t="shared" si="185"/>
        <v>0</v>
      </c>
      <c r="F525" s="68">
        <f t="shared" si="185"/>
        <v>0</v>
      </c>
      <c r="G525" s="68">
        <f t="shared" si="185"/>
        <v>0</v>
      </c>
      <c r="H525" s="68">
        <f t="shared" si="185"/>
        <v>0</v>
      </c>
      <c r="I525" s="68">
        <f t="shared" si="185"/>
        <v>0</v>
      </c>
      <c r="J525" s="54"/>
      <c r="K525" s="41"/>
    </row>
    <row r="526" spans="1:11" s="38" customFormat="1" ht="12" x14ac:dyDescent="0.2">
      <c r="A526" s="41">
        <v>384</v>
      </c>
      <c r="B526" s="61" t="s">
        <v>59</v>
      </c>
      <c r="C526" s="59">
        <f>SUM(D526:I526)</f>
        <v>0</v>
      </c>
      <c r="D526" s="69">
        <f>D532+D538</f>
        <v>0</v>
      </c>
      <c r="E526" s="69">
        <f t="shared" ref="E526:I526" si="186">E532+E538</f>
        <v>0</v>
      </c>
      <c r="F526" s="69">
        <f t="shared" si="186"/>
        <v>0</v>
      </c>
      <c r="G526" s="69">
        <f t="shared" si="186"/>
        <v>0</v>
      </c>
      <c r="H526" s="69">
        <f t="shared" si="186"/>
        <v>0</v>
      </c>
      <c r="I526" s="69">
        <f t="shared" si="186"/>
        <v>0</v>
      </c>
      <c r="J526" s="54"/>
      <c r="K526" s="41"/>
    </row>
    <row r="527" spans="1:11" s="38" customFormat="1" ht="12" x14ac:dyDescent="0.2">
      <c r="A527" s="41">
        <v>385</v>
      </c>
      <c r="B527" s="83" t="s">
        <v>10</v>
      </c>
      <c r="C527" s="59">
        <f>SUM(D527:I527)</f>
        <v>0</v>
      </c>
      <c r="D527" s="69">
        <f t="shared" ref="D527:I529" si="187">D533+D539</f>
        <v>0</v>
      </c>
      <c r="E527" s="69">
        <f t="shared" si="187"/>
        <v>0</v>
      </c>
      <c r="F527" s="69">
        <f t="shared" si="187"/>
        <v>0</v>
      </c>
      <c r="G527" s="69">
        <f t="shared" si="187"/>
        <v>0</v>
      </c>
      <c r="H527" s="69">
        <f t="shared" si="187"/>
        <v>0</v>
      </c>
      <c r="I527" s="69">
        <f t="shared" si="187"/>
        <v>0</v>
      </c>
      <c r="J527" s="54"/>
      <c r="K527" s="41"/>
    </row>
    <row r="528" spans="1:11" s="38" customFormat="1" ht="12" x14ac:dyDescent="0.2">
      <c r="A528" s="41">
        <v>386</v>
      </c>
      <c r="B528" s="83" t="s">
        <v>11</v>
      </c>
      <c r="C528" s="59">
        <f>SUM(D528:I528)</f>
        <v>0</v>
      </c>
      <c r="D528" s="69">
        <f t="shared" si="187"/>
        <v>0</v>
      </c>
      <c r="E528" s="69">
        <f t="shared" si="187"/>
        <v>0</v>
      </c>
      <c r="F528" s="69">
        <f t="shared" si="187"/>
        <v>0</v>
      </c>
      <c r="G528" s="69">
        <f t="shared" si="187"/>
        <v>0</v>
      </c>
      <c r="H528" s="69">
        <f t="shared" si="187"/>
        <v>0</v>
      </c>
      <c r="I528" s="69">
        <f t="shared" si="187"/>
        <v>0</v>
      </c>
      <c r="J528" s="54"/>
      <c r="K528" s="41"/>
    </row>
    <row r="529" spans="1:11" s="38" customFormat="1" ht="12" x14ac:dyDescent="0.2">
      <c r="A529" s="41">
        <v>387</v>
      </c>
      <c r="B529" s="83" t="s">
        <v>12</v>
      </c>
      <c r="C529" s="59">
        <f>SUM(D529:I529)</f>
        <v>0</v>
      </c>
      <c r="D529" s="69">
        <f t="shared" si="187"/>
        <v>0</v>
      </c>
      <c r="E529" s="69">
        <f t="shared" si="187"/>
        <v>0</v>
      </c>
      <c r="F529" s="69">
        <f t="shared" si="187"/>
        <v>0</v>
      </c>
      <c r="G529" s="69">
        <f t="shared" si="187"/>
        <v>0</v>
      </c>
      <c r="H529" s="69">
        <f t="shared" si="187"/>
        <v>0</v>
      </c>
      <c r="I529" s="69">
        <f>I535+I541</f>
        <v>0</v>
      </c>
      <c r="J529" s="54"/>
      <c r="K529" s="41"/>
    </row>
    <row r="530" spans="1:11" s="38" customFormat="1" ht="12" x14ac:dyDescent="0.2">
      <c r="A530" s="41">
        <v>388</v>
      </c>
      <c r="B530" s="221" t="s">
        <v>145</v>
      </c>
      <c r="C530" s="222"/>
      <c r="D530" s="222"/>
      <c r="E530" s="222"/>
      <c r="F530" s="222"/>
      <c r="G530" s="222"/>
      <c r="H530" s="222"/>
      <c r="I530" s="222"/>
      <c r="J530" s="223"/>
      <c r="K530" s="41"/>
    </row>
    <row r="531" spans="1:11" s="38" customFormat="1" ht="36" x14ac:dyDescent="0.2">
      <c r="A531" s="41">
        <v>389</v>
      </c>
      <c r="B531" s="71" t="s">
        <v>146</v>
      </c>
      <c r="C531" s="68">
        <f>SUM(D531:I531)</f>
        <v>0</v>
      </c>
      <c r="D531" s="68">
        <f>SUM(D532:D535)</f>
        <v>0</v>
      </c>
      <c r="E531" s="68">
        <f t="shared" ref="E531:I531" si="188">SUM(E532:E535)</f>
        <v>0</v>
      </c>
      <c r="F531" s="68">
        <f t="shared" si="188"/>
        <v>0</v>
      </c>
      <c r="G531" s="68">
        <f t="shared" si="188"/>
        <v>0</v>
      </c>
      <c r="H531" s="68">
        <f t="shared" si="188"/>
        <v>0</v>
      </c>
      <c r="I531" s="68">
        <f t="shared" si="188"/>
        <v>0</v>
      </c>
      <c r="J531" s="54"/>
      <c r="K531" s="41"/>
    </row>
    <row r="532" spans="1:11" s="38" customFormat="1" ht="12" x14ac:dyDescent="0.2">
      <c r="A532" s="41">
        <v>390</v>
      </c>
      <c r="B532" s="71" t="s">
        <v>59</v>
      </c>
      <c r="C532" s="69">
        <f t="shared" ref="C532:C535" si="189">SUM(D532:I532)</f>
        <v>0</v>
      </c>
      <c r="D532" s="69">
        <v>0</v>
      </c>
      <c r="E532" s="69">
        <v>0</v>
      </c>
      <c r="F532" s="69">
        <v>0</v>
      </c>
      <c r="G532" s="69">
        <v>0</v>
      </c>
      <c r="H532" s="69">
        <v>0</v>
      </c>
      <c r="I532" s="69">
        <v>0</v>
      </c>
      <c r="J532" s="54"/>
      <c r="K532" s="41"/>
    </row>
    <row r="533" spans="1:11" s="38" customFormat="1" ht="12" x14ac:dyDescent="0.2">
      <c r="A533" s="41">
        <v>391</v>
      </c>
      <c r="B533" s="71" t="s">
        <v>10</v>
      </c>
      <c r="C533" s="69">
        <f t="shared" si="189"/>
        <v>0</v>
      </c>
      <c r="D533" s="69">
        <v>0</v>
      </c>
      <c r="E533" s="69">
        <v>0</v>
      </c>
      <c r="F533" s="69">
        <v>0</v>
      </c>
      <c r="G533" s="69">
        <v>0</v>
      </c>
      <c r="H533" s="69">
        <v>0</v>
      </c>
      <c r="I533" s="69">
        <v>0</v>
      </c>
      <c r="J533" s="54"/>
      <c r="K533" s="41"/>
    </row>
    <row r="534" spans="1:11" s="38" customFormat="1" ht="12" x14ac:dyDescent="0.2">
      <c r="A534" s="41">
        <v>392</v>
      </c>
      <c r="B534" s="71" t="s">
        <v>11</v>
      </c>
      <c r="C534" s="69">
        <f t="shared" si="189"/>
        <v>0</v>
      </c>
      <c r="D534" s="69">
        <v>0</v>
      </c>
      <c r="E534" s="69">
        <v>0</v>
      </c>
      <c r="F534" s="69">
        <v>0</v>
      </c>
      <c r="G534" s="69">
        <v>0</v>
      </c>
      <c r="H534" s="69">
        <v>0</v>
      </c>
      <c r="I534" s="69">
        <v>0</v>
      </c>
      <c r="J534" s="54"/>
      <c r="K534" s="41"/>
    </row>
    <row r="535" spans="1:11" s="38" customFormat="1" ht="12" x14ac:dyDescent="0.2">
      <c r="A535" s="41">
        <v>393</v>
      </c>
      <c r="B535" s="71" t="s">
        <v>12</v>
      </c>
      <c r="C535" s="69">
        <f t="shared" si="189"/>
        <v>0</v>
      </c>
      <c r="D535" s="69">
        <v>0</v>
      </c>
      <c r="E535" s="69">
        <v>0</v>
      </c>
      <c r="F535" s="69">
        <v>0</v>
      </c>
      <c r="G535" s="69">
        <v>0</v>
      </c>
      <c r="H535" s="69">
        <v>0</v>
      </c>
      <c r="I535" s="69">
        <v>0</v>
      </c>
      <c r="J535" s="54"/>
      <c r="K535" s="41"/>
    </row>
    <row r="536" spans="1:11" s="38" customFormat="1" ht="12" x14ac:dyDescent="0.2">
      <c r="A536" s="41">
        <v>394</v>
      </c>
      <c r="B536" s="218" t="s">
        <v>151</v>
      </c>
      <c r="C536" s="219"/>
      <c r="D536" s="219"/>
      <c r="E536" s="219"/>
      <c r="F536" s="219"/>
      <c r="G536" s="219"/>
      <c r="H536" s="219"/>
      <c r="I536" s="219"/>
      <c r="J536" s="220"/>
      <c r="K536" s="41"/>
    </row>
    <row r="537" spans="1:11" s="38" customFormat="1" ht="24" x14ac:dyDescent="0.2">
      <c r="A537" s="41">
        <v>395</v>
      </c>
      <c r="B537" s="71" t="s">
        <v>152</v>
      </c>
      <c r="C537" s="68">
        <f>SUM(D537:I537)</f>
        <v>0</v>
      </c>
      <c r="D537" s="68">
        <f>SUM(D538:D541)</f>
        <v>0</v>
      </c>
      <c r="E537" s="68">
        <f t="shared" ref="E537:I537" si="190">SUM(E538:E541)</f>
        <v>0</v>
      </c>
      <c r="F537" s="68">
        <f t="shared" si="190"/>
        <v>0</v>
      </c>
      <c r="G537" s="68">
        <f t="shared" si="190"/>
        <v>0</v>
      </c>
      <c r="H537" s="68">
        <f t="shared" si="190"/>
        <v>0</v>
      </c>
      <c r="I537" s="68">
        <f t="shared" si="190"/>
        <v>0</v>
      </c>
      <c r="J537" s="54"/>
      <c r="K537" s="41"/>
    </row>
    <row r="538" spans="1:11" s="38" customFormat="1" ht="12" x14ac:dyDescent="0.2">
      <c r="A538" s="41">
        <v>396</v>
      </c>
      <c r="B538" s="71" t="s">
        <v>59</v>
      </c>
      <c r="C538" s="69">
        <f t="shared" ref="C538:C541" si="191">SUM(D538:I538)</f>
        <v>0</v>
      </c>
      <c r="D538" s="69">
        <v>0</v>
      </c>
      <c r="E538" s="69">
        <v>0</v>
      </c>
      <c r="F538" s="69">
        <v>0</v>
      </c>
      <c r="G538" s="69">
        <v>0</v>
      </c>
      <c r="H538" s="69">
        <v>0</v>
      </c>
      <c r="I538" s="69">
        <v>0</v>
      </c>
      <c r="J538" s="54"/>
      <c r="K538" s="41"/>
    </row>
    <row r="539" spans="1:11" s="38" customFormat="1" ht="12" x14ac:dyDescent="0.2">
      <c r="A539" s="41">
        <v>397</v>
      </c>
      <c r="B539" s="71" t="s">
        <v>10</v>
      </c>
      <c r="C539" s="69">
        <f t="shared" si="191"/>
        <v>0</v>
      </c>
      <c r="D539" s="69">
        <v>0</v>
      </c>
      <c r="E539" s="69">
        <v>0</v>
      </c>
      <c r="F539" s="69">
        <v>0</v>
      </c>
      <c r="G539" s="69">
        <v>0</v>
      </c>
      <c r="H539" s="69">
        <v>0</v>
      </c>
      <c r="I539" s="69">
        <v>0</v>
      </c>
      <c r="J539" s="54"/>
      <c r="K539" s="41"/>
    </row>
    <row r="540" spans="1:11" s="38" customFormat="1" ht="12" x14ac:dyDescent="0.2">
      <c r="A540" s="41">
        <v>398</v>
      </c>
      <c r="B540" s="71" t="s">
        <v>11</v>
      </c>
      <c r="C540" s="69">
        <f t="shared" si="191"/>
        <v>0</v>
      </c>
      <c r="D540" s="69">
        <v>0</v>
      </c>
      <c r="E540" s="69">
        <v>0</v>
      </c>
      <c r="F540" s="69">
        <v>0</v>
      </c>
      <c r="G540" s="69">
        <v>0</v>
      </c>
      <c r="H540" s="69">
        <v>0</v>
      </c>
      <c r="I540" s="69">
        <v>0</v>
      </c>
      <c r="J540" s="54"/>
      <c r="K540" s="41"/>
    </row>
    <row r="541" spans="1:11" s="38" customFormat="1" ht="12" x14ac:dyDescent="0.2">
      <c r="A541" s="41">
        <v>399</v>
      </c>
      <c r="B541" s="71" t="s">
        <v>12</v>
      </c>
      <c r="C541" s="69">
        <f t="shared" si="191"/>
        <v>0</v>
      </c>
      <c r="D541" s="69">
        <v>0</v>
      </c>
      <c r="E541" s="69">
        <v>0</v>
      </c>
      <c r="F541" s="69">
        <v>0</v>
      </c>
      <c r="G541" s="69">
        <v>0</v>
      </c>
      <c r="H541" s="69">
        <v>0</v>
      </c>
      <c r="I541" s="69">
        <v>0</v>
      </c>
      <c r="J541" s="54"/>
      <c r="K541" s="41"/>
    </row>
    <row r="542" spans="1:11" s="38" customFormat="1" ht="12" x14ac:dyDescent="0.2">
      <c r="A542" s="41">
        <v>400</v>
      </c>
      <c r="B542" s="215" t="s">
        <v>61</v>
      </c>
      <c r="C542" s="216"/>
      <c r="D542" s="216"/>
      <c r="E542" s="216"/>
      <c r="F542" s="216"/>
      <c r="G542" s="216"/>
      <c r="H542" s="216"/>
      <c r="I542" s="216"/>
      <c r="J542" s="217"/>
      <c r="K542" s="41"/>
    </row>
    <row r="543" spans="1:11" s="38" customFormat="1" ht="24" x14ac:dyDescent="0.2">
      <c r="A543" s="41">
        <v>401</v>
      </c>
      <c r="B543" s="82" t="s">
        <v>71</v>
      </c>
      <c r="C543" s="68">
        <f t="shared" ref="C543:C556" si="192">SUM(D543:I543)</f>
        <v>46791772.259999998</v>
      </c>
      <c r="D543" s="68">
        <f t="shared" ref="D543:I543" si="193">SUM(D545:D547)</f>
        <v>7816954.1299999999</v>
      </c>
      <c r="E543" s="68">
        <f t="shared" si="193"/>
        <v>7540589.29</v>
      </c>
      <c r="F543" s="68">
        <f t="shared" si="193"/>
        <v>8281860.8399999999</v>
      </c>
      <c r="G543" s="68">
        <f t="shared" si="193"/>
        <v>7697456</v>
      </c>
      <c r="H543" s="68">
        <f t="shared" si="193"/>
        <v>7717456</v>
      </c>
      <c r="I543" s="68">
        <f t="shared" si="193"/>
        <v>7737456</v>
      </c>
      <c r="J543" s="54"/>
      <c r="K543" s="41"/>
    </row>
    <row r="544" spans="1:11" s="38" customFormat="1" ht="12" x14ac:dyDescent="0.2">
      <c r="A544" s="41">
        <v>402</v>
      </c>
      <c r="B544" s="61" t="s">
        <v>59</v>
      </c>
      <c r="C544" s="69">
        <f t="shared" si="192"/>
        <v>0</v>
      </c>
      <c r="D544" s="69">
        <f>D549+D554</f>
        <v>0</v>
      </c>
      <c r="E544" s="69">
        <f t="shared" ref="E544:I544" si="194">E549+E554</f>
        <v>0</v>
      </c>
      <c r="F544" s="69">
        <f t="shared" si="194"/>
        <v>0</v>
      </c>
      <c r="G544" s="69">
        <f t="shared" si="194"/>
        <v>0</v>
      </c>
      <c r="H544" s="69">
        <f t="shared" si="194"/>
        <v>0</v>
      </c>
      <c r="I544" s="69">
        <f t="shared" si="194"/>
        <v>0</v>
      </c>
      <c r="J544" s="54"/>
      <c r="K544" s="41"/>
    </row>
    <row r="545" spans="1:18" s="38" customFormat="1" ht="12" x14ac:dyDescent="0.2">
      <c r="A545" s="41">
        <v>403</v>
      </c>
      <c r="B545" s="83" t="s">
        <v>10</v>
      </c>
      <c r="C545" s="69">
        <f t="shared" si="192"/>
        <v>0</v>
      </c>
      <c r="D545" s="69">
        <f t="shared" ref="D545:I547" si="195">D550+D555</f>
        <v>0</v>
      </c>
      <c r="E545" s="69">
        <f t="shared" si="195"/>
        <v>0</v>
      </c>
      <c r="F545" s="69">
        <f t="shared" si="195"/>
        <v>0</v>
      </c>
      <c r="G545" s="69">
        <f t="shared" si="195"/>
        <v>0</v>
      </c>
      <c r="H545" s="69">
        <f t="shared" si="195"/>
        <v>0</v>
      </c>
      <c r="I545" s="69">
        <f t="shared" si="195"/>
        <v>0</v>
      </c>
      <c r="J545" s="54"/>
      <c r="K545" s="41"/>
    </row>
    <row r="546" spans="1:18" s="38" customFormat="1" ht="12" x14ac:dyDescent="0.2">
      <c r="A546" s="41">
        <v>404</v>
      </c>
      <c r="B546" s="83" t="s">
        <v>11</v>
      </c>
      <c r="C546" s="69">
        <f t="shared" si="192"/>
        <v>46791772.259999998</v>
      </c>
      <c r="D546" s="69">
        <f t="shared" si="195"/>
        <v>7816954.1299999999</v>
      </c>
      <c r="E546" s="69">
        <f t="shared" si="195"/>
        <v>7540589.29</v>
      </c>
      <c r="F546" s="69">
        <f t="shared" si="195"/>
        <v>8281860.8399999999</v>
      </c>
      <c r="G546" s="69">
        <f t="shared" si="195"/>
        <v>7697456</v>
      </c>
      <c r="H546" s="69">
        <f t="shared" si="195"/>
        <v>7717456</v>
      </c>
      <c r="I546" s="69">
        <f t="shared" si="195"/>
        <v>7737456</v>
      </c>
      <c r="J546" s="54"/>
      <c r="K546" s="41"/>
    </row>
    <row r="547" spans="1:18" s="38" customFormat="1" ht="12" x14ac:dyDescent="0.2">
      <c r="A547" s="41">
        <v>405</v>
      </c>
      <c r="B547" s="83" t="s">
        <v>12</v>
      </c>
      <c r="C547" s="69">
        <f t="shared" si="192"/>
        <v>0</v>
      </c>
      <c r="D547" s="69">
        <f t="shared" si="195"/>
        <v>0</v>
      </c>
      <c r="E547" s="69">
        <f t="shared" si="195"/>
        <v>0</v>
      </c>
      <c r="F547" s="69">
        <f t="shared" si="195"/>
        <v>0</v>
      </c>
      <c r="G547" s="69">
        <f t="shared" si="195"/>
        <v>0</v>
      </c>
      <c r="H547" s="69">
        <f t="shared" si="195"/>
        <v>0</v>
      </c>
      <c r="I547" s="69">
        <f t="shared" si="195"/>
        <v>0</v>
      </c>
      <c r="J547" s="54"/>
      <c r="K547" s="41"/>
    </row>
    <row r="548" spans="1:18" s="38" customFormat="1" ht="60" x14ac:dyDescent="0.2">
      <c r="A548" s="41">
        <v>406</v>
      </c>
      <c r="B548" s="65" t="s">
        <v>200</v>
      </c>
      <c r="C548" s="73">
        <f t="shared" si="192"/>
        <v>7730012.29</v>
      </c>
      <c r="D548" s="73">
        <f t="shared" ref="D548:I548" si="196">SUM(D550:D552)</f>
        <v>1295986.29</v>
      </c>
      <c r="E548" s="73">
        <f t="shared" si="196"/>
        <v>1296178</v>
      </c>
      <c r="F548" s="73">
        <f t="shared" si="196"/>
        <v>1559802</v>
      </c>
      <c r="G548" s="73">
        <f t="shared" si="196"/>
        <v>1192682</v>
      </c>
      <c r="H548" s="73">
        <f t="shared" si="196"/>
        <v>1192682</v>
      </c>
      <c r="I548" s="73">
        <f t="shared" si="196"/>
        <v>1192682</v>
      </c>
      <c r="J548" s="54" t="s">
        <v>201</v>
      </c>
      <c r="K548" s="41" t="s">
        <v>149</v>
      </c>
    </row>
    <row r="549" spans="1:18" s="38" customFormat="1" ht="12" x14ac:dyDescent="0.2">
      <c r="A549" s="41">
        <v>407</v>
      </c>
      <c r="B549" s="61" t="s">
        <v>59</v>
      </c>
      <c r="C549" s="69">
        <f t="shared" si="192"/>
        <v>0</v>
      </c>
      <c r="D549" s="69">
        <v>0</v>
      </c>
      <c r="E549" s="69">
        <v>0</v>
      </c>
      <c r="F549" s="69">
        <v>0</v>
      </c>
      <c r="G549" s="69">
        <v>0</v>
      </c>
      <c r="H549" s="69">
        <v>0</v>
      </c>
      <c r="I549" s="69">
        <v>0</v>
      </c>
      <c r="J549" s="54"/>
      <c r="K549" s="41"/>
    </row>
    <row r="550" spans="1:18" s="38" customFormat="1" ht="12" x14ac:dyDescent="0.2">
      <c r="A550" s="41">
        <v>408</v>
      </c>
      <c r="B550" s="61" t="s">
        <v>10</v>
      </c>
      <c r="C550" s="69">
        <f t="shared" si="192"/>
        <v>0</v>
      </c>
      <c r="D550" s="69">
        <v>0</v>
      </c>
      <c r="E550" s="69">
        <v>0</v>
      </c>
      <c r="F550" s="69">
        <v>0</v>
      </c>
      <c r="G550" s="69">
        <v>0</v>
      </c>
      <c r="H550" s="69">
        <v>0</v>
      </c>
      <c r="I550" s="69">
        <v>0</v>
      </c>
      <c r="J550" s="54"/>
      <c r="K550" s="41"/>
    </row>
    <row r="551" spans="1:18" s="38" customFormat="1" ht="12" x14ac:dyDescent="0.2">
      <c r="A551" s="41">
        <v>409</v>
      </c>
      <c r="B551" s="61" t="s">
        <v>11</v>
      </c>
      <c r="C551" s="69">
        <f t="shared" si="192"/>
        <v>7730012.29</v>
      </c>
      <c r="D551" s="69">
        <f>1192682-74076.04+177380.33</f>
        <v>1295986.29</v>
      </c>
      <c r="E551" s="69">
        <f>1192682-64290.78+167786.78</f>
        <v>1296178</v>
      </c>
      <c r="F551" s="69">
        <f>1192682+161412.96+205707.04</f>
        <v>1559802</v>
      </c>
      <c r="G551" s="69">
        <f>1195984+99995-103297-783222+783222</f>
        <v>1192682</v>
      </c>
      <c r="H551" s="77">
        <f>1195984+99995-103297-888222+888222</f>
        <v>1192682</v>
      </c>
      <c r="I551" s="69">
        <f>1195984+99995-103297</f>
        <v>1192682</v>
      </c>
      <c r="J551" s="54"/>
      <c r="K551" s="41"/>
    </row>
    <row r="552" spans="1:18" s="38" customFormat="1" ht="12" x14ac:dyDescent="0.2">
      <c r="A552" s="41">
        <v>410</v>
      </c>
      <c r="B552" s="61" t="s">
        <v>12</v>
      </c>
      <c r="C552" s="69">
        <f t="shared" si="192"/>
        <v>0</v>
      </c>
      <c r="D552" s="69">
        <v>0</v>
      </c>
      <c r="E552" s="69">
        <v>0</v>
      </c>
      <c r="F552" s="69">
        <v>0</v>
      </c>
      <c r="G552" s="69">
        <v>0</v>
      </c>
      <c r="H552" s="69">
        <v>0</v>
      </c>
      <c r="I552" s="69">
        <v>0</v>
      </c>
      <c r="J552" s="54"/>
      <c r="K552" s="41"/>
    </row>
    <row r="553" spans="1:18" s="38" customFormat="1" ht="60" x14ac:dyDescent="0.2">
      <c r="A553" s="41">
        <v>411</v>
      </c>
      <c r="B553" s="65" t="s">
        <v>202</v>
      </c>
      <c r="C553" s="73">
        <f t="shared" si="192"/>
        <v>39061759.969999999</v>
      </c>
      <c r="D553" s="73">
        <f t="shared" ref="D553:I553" si="197">SUM(D555:D557)</f>
        <v>6520967.8399999999</v>
      </c>
      <c r="E553" s="73">
        <f t="shared" si="197"/>
        <v>6244411.29</v>
      </c>
      <c r="F553" s="73">
        <f t="shared" si="197"/>
        <v>6722058.8399999999</v>
      </c>
      <c r="G553" s="73">
        <f t="shared" si="197"/>
        <v>6504774</v>
      </c>
      <c r="H553" s="73">
        <f t="shared" si="197"/>
        <v>6524774</v>
      </c>
      <c r="I553" s="73">
        <f t="shared" si="197"/>
        <v>6544774</v>
      </c>
      <c r="J553" s="54" t="s">
        <v>203</v>
      </c>
      <c r="K553" s="41" t="s">
        <v>204</v>
      </c>
    </row>
    <row r="554" spans="1:18" s="38" customFormat="1" ht="12" x14ac:dyDescent="0.2">
      <c r="A554" s="41">
        <v>412</v>
      </c>
      <c r="B554" s="61" t="s">
        <v>59</v>
      </c>
      <c r="C554" s="69">
        <f t="shared" si="192"/>
        <v>0</v>
      </c>
      <c r="D554" s="69">
        <v>0</v>
      </c>
      <c r="E554" s="69">
        <v>0</v>
      </c>
      <c r="F554" s="69">
        <v>0</v>
      </c>
      <c r="G554" s="69">
        <v>0</v>
      </c>
      <c r="H554" s="69">
        <v>0</v>
      </c>
      <c r="I554" s="69">
        <v>0</v>
      </c>
      <c r="J554" s="54"/>
      <c r="K554" s="41"/>
    </row>
    <row r="555" spans="1:18" s="38" customFormat="1" ht="12" x14ac:dyDescent="0.2">
      <c r="A555" s="41">
        <v>413</v>
      </c>
      <c r="B555" s="61" t="s">
        <v>10</v>
      </c>
      <c r="C555" s="69">
        <f t="shared" si="192"/>
        <v>0</v>
      </c>
      <c r="D555" s="69">
        <v>0</v>
      </c>
      <c r="E555" s="69">
        <v>0</v>
      </c>
      <c r="F555" s="69">
        <v>0</v>
      </c>
      <c r="G555" s="69">
        <v>0</v>
      </c>
      <c r="H555" s="69">
        <v>0</v>
      </c>
      <c r="I555" s="69">
        <v>0</v>
      </c>
      <c r="J555" s="54"/>
      <c r="K555" s="41"/>
    </row>
    <row r="556" spans="1:18" s="38" customFormat="1" ht="12" x14ac:dyDescent="0.2">
      <c r="A556" s="41">
        <v>414</v>
      </c>
      <c r="B556" s="61" t="s">
        <v>11</v>
      </c>
      <c r="C556" s="69">
        <f t="shared" si="192"/>
        <v>39061759.969999999</v>
      </c>
      <c r="D556" s="69">
        <f>6770400+41859.84-291292</f>
        <v>6520967.8399999999</v>
      </c>
      <c r="E556" s="69">
        <f>6810581-298664+12694.29-200-280000</f>
        <v>6244411.29</v>
      </c>
      <c r="F556" s="69">
        <f>7151111-501605+72552.84</f>
        <v>6722058.8399999999</v>
      </c>
      <c r="G556" s="69">
        <f>7703452-99995-1209747-3704092+3815156</f>
        <v>6504774</v>
      </c>
      <c r="H556" s="77">
        <f>7703452-99995-1209747-4114092+4245156</f>
        <v>6524774</v>
      </c>
      <c r="I556" s="69">
        <f>7703452-99995-1058683</f>
        <v>6544774</v>
      </c>
      <c r="J556" s="54"/>
      <c r="K556" s="41"/>
    </row>
    <row r="557" spans="1:18" x14ac:dyDescent="0.25">
      <c r="A557" s="41">
        <v>403</v>
      </c>
      <c r="M557" s="38"/>
      <c r="N557" s="38"/>
      <c r="O557" s="38"/>
      <c r="P557" s="38"/>
      <c r="Q557" s="38"/>
      <c r="R557" s="38"/>
    </row>
    <row r="558" spans="1:18" x14ac:dyDescent="0.25">
      <c r="A558" s="41">
        <v>404</v>
      </c>
      <c r="M558" s="38"/>
      <c r="N558" s="38"/>
      <c r="O558" s="38"/>
      <c r="P558" s="38"/>
      <c r="Q558" s="38"/>
      <c r="R558" s="38"/>
    </row>
  </sheetData>
  <mergeCells count="40">
    <mergeCell ref="B206:J206"/>
    <mergeCell ref="G1:K1"/>
    <mergeCell ref="G2:K2"/>
    <mergeCell ref="G4:K4"/>
    <mergeCell ref="G5:K5"/>
    <mergeCell ref="A6:K6"/>
    <mergeCell ref="A7:A8"/>
    <mergeCell ref="B7:B8"/>
    <mergeCell ref="C7:I7"/>
    <mergeCell ref="J7:J8"/>
    <mergeCell ref="K7:K8"/>
    <mergeCell ref="B25:J25"/>
    <mergeCell ref="B31:J31"/>
    <mergeCell ref="B37:J37"/>
    <mergeCell ref="B53:J53"/>
    <mergeCell ref="B59:J59"/>
    <mergeCell ref="B374:J374"/>
    <mergeCell ref="B212:J212"/>
    <mergeCell ref="B218:J218"/>
    <mergeCell ref="B224:J224"/>
    <mergeCell ref="B230:J230"/>
    <mergeCell ref="B299:J299"/>
    <mergeCell ref="B305:J305"/>
    <mergeCell ref="B311:J311"/>
    <mergeCell ref="B317:J317"/>
    <mergeCell ref="B323:J323"/>
    <mergeCell ref="B362:J362"/>
    <mergeCell ref="B368:J368"/>
    <mergeCell ref="B542:J542"/>
    <mergeCell ref="B380:J380"/>
    <mergeCell ref="B386:J386"/>
    <mergeCell ref="B428:J428"/>
    <mergeCell ref="B434:J434"/>
    <mergeCell ref="B440:J440"/>
    <mergeCell ref="B446:J446"/>
    <mergeCell ref="B452:J452"/>
    <mergeCell ref="B518:J518"/>
    <mergeCell ref="B524:J524"/>
    <mergeCell ref="B530:J530"/>
    <mergeCell ref="B536:J53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8"/>
  <sheetViews>
    <sheetView topLeftCell="A4" zoomScale="120" zoomScaleNormal="120" workbookViewId="0">
      <pane ySplit="6" topLeftCell="A19" activePane="bottomLeft" state="frozen"/>
      <selection activeCell="A4" sqref="A4"/>
      <selection pane="bottomLeft" activeCell="B558" sqref="B558"/>
    </sheetView>
  </sheetViews>
  <sheetFormatPr defaultColWidth="9" defaultRowHeight="15.75" x14ac:dyDescent="0.25"/>
  <cols>
    <col min="1" max="1" width="5.375" style="37" customWidth="1"/>
    <col min="2" max="2" width="27" style="37" customWidth="1"/>
    <col min="3" max="3" width="12" style="37" customWidth="1"/>
    <col min="4" max="6" width="11.125" style="37" customWidth="1"/>
    <col min="7" max="8" width="11.125" style="39" customWidth="1"/>
    <col min="9" max="11" width="11.125" style="163" customWidth="1"/>
    <col min="12" max="13" width="11.125" style="37" customWidth="1"/>
    <col min="14" max="14" width="12.625" style="96" customWidth="1"/>
    <col min="15" max="15" width="11.5" style="97" customWidth="1"/>
    <col min="16" max="16" width="13.375" style="37" hidden="1" customWidth="1"/>
    <col min="17" max="22" width="10.875" style="37" hidden="1" customWidth="1"/>
    <col min="23" max="16384" width="9" style="37"/>
  </cols>
  <sheetData>
    <row r="1" spans="1:23" s="45" customFormat="1" ht="15" hidden="1" customHeight="1" x14ac:dyDescent="0.25">
      <c r="G1" s="226" t="s">
        <v>83</v>
      </c>
      <c r="H1" s="226"/>
      <c r="I1" s="226"/>
      <c r="J1" s="226"/>
      <c r="K1" s="226"/>
      <c r="L1" s="226"/>
      <c r="M1" s="226"/>
      <c r="N1" s="226"/>
      <c r="O1" s="226"/>
    </row>
    <row r="2" spans="1:23" s="45" customFormat="1" ht="39.75" hidden="1" customHeight="1" x14ac:dyDescent="0.25">
      <c r="G2" s="226" t="s">
        <v>136</v>
      </c>
      <c r="H2" s="226"/>
      <c r="I2" s="226"/>
      <c r="J2" s="226"/>
      <c r="K2" s="226"/>
      <c r="L2" s="226"/>
      <c r="M2" s="226"/>
      <c r="N2" s="226"/>
      <c r="O2" s="226"/>
    </row>
    <row r="3" spans="1:23" s="45" customFormat="1" hidden="1" x14ac:dyDescent="0.25">
      <c r="G3" s="116"/>
      <c r="H3" s="116"/>
      <c r="I3" s="149"/>
      <c r="J3" s="149"/>
      <c r="K3" s="149"/>
      <c r="L3" s="115"/>
      <c r="M3" s="115"/>
      <c r="N3" s="47"/>
      <c r="O3" s="46"/>
    </row>
    <row r="4" spans="1:23" s="45" customFormat="1" ht="15.75" customHeight="1" x14ac:dyDescent="0.25">
      <c r="A4" s="48"/>
      <c r="B4" s="49"/>
      <c r="C4" s="49"/>
      <c r="D4" s="49"/>
      <c r="E4" s="49"/>
      <c r="F4" s="49"/>
      <c r="G4" s="226" t="s">
        <v>83</v>
      </c>
      <c r="H4" s="226"/>
      <c r="I4" s="226"/>
      <c r="J4" s="226"/>
      <c r="K4" s="226"/>
      <c r="L4" s="226"/>
      <c r="M4" s="226"/>
      <c r="N4" s="226"/>
      <c r="O4" s="226"/>
    </row>
    <row r="5" spans="1:23" s="45" customFormat="1" ht="35.1" customHeight="1" x14ac:dyDescent="0.25">
      <c r="A5" s="48"/>
      <c r="B5" s="49"/>
      <c r="C5" s="50"/>
      <c r="D5" s="50"/>
      <c r="E5" s="49"/>
      <c r="F5" s="49"/>
      <c r="G5" s="234" t="s">
        <v>209</v>
      </c>
      <c r="H5" s="226"/>
      <c r="I5" s="226"/>
      <c r="J5" s="226"/>
      <c r="K5" s="226"/>
      <c r="L5" s="226"/>
      <c r="M5" s="226"/>
      <c r="N5" s="226"/>
      <c r="O5" s="226"/>
    </row>
    <row r="6" spans="1:23" ht="58.5" customHeight="1" x14ac:dyDescent="0.25">
      <c r="A6" s="199" t="s">
        <v>210</v>
      </c>
      <c r="B6" s="199"/>
      <c r="C6" s="199"/>
      <c r="D6" s="199"/>
      <c r="E6" s="199"/>
      <c r="F6" s="199"/>
      <c r="G6" s="199"/>
      <c r="H6" s="199"/>
      <c r="I6" s="199"/>
      <c r="J6" s="199"/>
      <c r="K6" s="199"/>
      <c r="L6" s="199"/>
      <c r="M6" s="199"/>
      <c r="N6" s="199"/>
      <c r="O6" s="199"/>
    </row>
    <row r="7" spans="1:23" s="38" customFormat="1" ht="38.25" customHeight="1" x14ac:dyDescent="0.2">
      <c r="A7" s="200" t="s">
        <v>66</v>
      </c>
      <c r="B7" s="200" t="s">
        <v>81</v>
      </c>
      <c r="C7" s="218" t="s">
        <v>67</v>
      </c>
      <c r="D7" s="219"/>
      <c r="E7" s="219"/>
      <c r="F7" s="219"/>
      <c r="G7" s="219"/>
      <c r="H7" s="219"/>
      <c r="I7" s="219"/>
      <c r="J7" s="219"/>
      <c r="K7" s="219"/>
      <c r="L7" s="219"/>
      <c r="M7" s="220"/>
      <c r="N7" s="227" t="s">
        <v>0</v>
      </c>
      <c r="O7" s="228" t="s">
        <v>137</v>
      </c>
    </row>
    <row r="8" spans="1:23" s="38" customFormat="1" ht="53.25" customHeight="1" x14ac:dyDescent="0.2">
      <c r="A8" s="200"/>
      <c r="B8" s="200"/>
      <c r="C8" s="43" t="s">
        <v>1</v>
      </c>
      <c r="D8" s="43" t="s">
        <v>2</v>
      </c>
      <c r="E8" s="43" t="s">
        <v>3</v>
      </c>
      <c r="F8" s="43" t="s">
        <v>4</v>
      </c>
      <c r="G8" s="40" t="s">
        <v>5</v>
      </c>
      <c r="H8" s="40" t="s">
        <v>6</v>
      </c>
      <c r="I8" s="145" t="s">
        <v>7</v>
      </c>
      <c r="J8" s="145" t="s">
        <v>205</v>
      </c>
      <c r="K8" s="145" t="s">
        <v>206</v>
      </c>
      <c r="L8" s="112" t="s">
        <v>207</v>
      </c>
      <c r="M8" s="112" t="s">
        <v>208</v>
      </c>
      <c r="N8" s="227"/>
      <c r="O8" s="229"/>
      <c r="P8" s="51"/>
      <c r="Q8" s="52" t="str">
        <f>D8</f>
        <v>2015 год</v>
      </c>
      <c r="R8" s="52" t="str">
        <f>E8</f>
        <v>2016 год</v>
      </c>
      <c r="S8" s="52" t="str">
        <f>F8</f>
        <v>2017 год</v>
      </c>
      <c r="T8" s="52" t="str">
        <f>G8</f>
        <v>2018 год</v>
      </c>
      <c r="U8" s="52" t="str">
        <f>H8</f>
        <v>2019 год</v>
      </c>
      <c r="V8" s="52" t="str">
        <f t="shared" ref="V8" si="0">I8</f>
        <v>2020 год</v>
      </c>
      <c r="W8" s="53"/>
    </row>
    <row r="9" spans="1:23" s="38" customFormat="1" ht="12.75" x14ac:dyDescent="0.2">
      <c r="A9" s="43">
        <v>1</v>
      </c>
      <c r="B9" s="43">
        <v>2</v>
      </c>
      <c r="C9" s="43">
        <v>3</v>
      </c>
      <c r="D9" s="43">
        <v>4</v>
      </c>
      <c r="E9" s="43">
        <v>5</v>
      </c>
      <c r="F9" s="43">
        <v>6</v>
      </c>
      <c r="G9" s="40">
        <v>7</v>
      </c>
      <c r="H9" s="40">
        <v>8</v>
      </c>
      <c r="I9" s="145">
        <v>9</v>
      </c>
      <c r="J9" s="145"/>
      <c r="K9" s="145"/>
      <c r="L9" s="112"/>
      <c r="M9" s="112"/>
      <c r="N9" s="54">
        <v>10</v>
      </c>
      <c r="O9" s="55">
        <v>11</v>
      </c>
      <c r="P9" s="51"/>
      <c r="Q9" s="56">
        <f>Q11/Q10*100</f>
        <v>11.384839737074113</v>
      </c>
      <c r="R9" s="56">
        <f t="shared" ref="R9:V9" si="1">R11/R10*100</f>
        <v>11.192373822256396</v>
      </c>
      <c r="S9" s="56">
        <f t="shared" si="1"/>
        <v>15.355663241484669</v>
      </c>
      <c r="T9" s="56">
        <f t="shared" si="1"/>
        <v>17.522133606888293</v>
      </c>
      <c r="U9" s="56">
        <f t="shared" si="1"/>
        <v>20.011961271179583</v>
      </c>
      <c r="V9" s="56">
        <f t="shared" si="1"/>
        <v>18.294853065332074</v>
      </c>
      <c r="W9" s="53"/>
    </row>
    <row r="10" spans="1:23" s="38" customFormat="1" ht="24" x14ac:dyDescent="0.2">
      <c r="A10" s="43">
        <v>1</v>
      </c>
      <c r="B10" s="57" t="s">
        <v>8</v>
      </c>
      <c r="C10" s="139">
        <f t="shared" ref="C10:C24" si="2">SUM(D10:M10)</f>
        <v>1604673060.8</v>
      </c>
      <c r="D10" s="58">
        <f t="shared" ref="D10:I10" si="3">SUM(D11:D14)</f>
        <v>142766687.31</v>
      </c>
      <c r="E10" s="58">
        <f t="shared" si="3"/>
        <v>135979667.22000003</v>
      </c>
      <c r="F10" s="58">
        <f t="shared" si="3"/>
        <v>164916549.38</v>
      </c>
      <c r="G10" s="117">
        <f t="shared" si="3"/>
        <v>185525885.45999998</v>
      </c>
      <c r="H10" s="117">
        <f t="shared" si="3"/>
        <v>210264261.19</v>
      </c>
      <c r="I10" s="165">
        <f t="shared" si="3"/>
        <v>192222726.75999999</v>
      </c>
      <c r="J10" s="150">
        <f t="shared" ref="J10:L10" si="4">SUM(J11:J14)</f>
        <v>149211784.31</v>
      </c>
      <c r="K10" s="150">
        <f t="shared" si="4"/>
        <v>149251275.67000002</v>
      </c>
      <c r="L10" s="58">
        <f t="shared" si="4"/>
        <v>137229611.75</v>
      </c>
      <c r="M10" s="58">
        <f t="shared" ref="M10" si="5">SUM(M11:M14)</f>
        <v>137304611.75</v>
      </c>
      <c r="N10" s="54"/>
      <c r="O10" s="91"/>
      <c r="P10" s="51" t="s">
        <v>138</v>
      </c>
      <c r="Q10" s="60">
        <v>1254007000.5999999</v>
      </c>
      <c r="R10" s="60">
        <v>1214931429.02</v>
      </c>
      <c r="S10" s="60">
        <v>1073978679.96</v>
      </c>
      <c r="T10" s="60">
        <v>1058808759.38</v>
      </c>
      <c r="U10" s="60">
        <v>1050692924.8</v>
      </c>
      <c r="V10" s="60">
        <v>1050692924.8</v>
      </c>
      <c r="W10" s="53"/>
    </row>
    <row r="11" spans="1:23" s="38" customFormat="1" ht="17.25" customHeight="1" x14ac:dyDescent="0.2">
      <c r="A11" s="43">
        <v>2</v>
      </c>
      <c r="B11" s="61" t="s">
        <v>59</v>
      </c>
      <c r="C11" s="62">
        <f t="shared" si="2"/>
        <v>364600</v>
      </c>
      <c r="D11" s="62">
        <f t="shared" ref="D11:I14" si="6">D16+D21</f>
        <v>64600</v>
      </c>
      <c r="E11" s="62">
        <f t="shared" si="6"/>
        <v>150000</v>
      </c>
      <c r="F11" s="62">
        <f t="shared" si="6"/>
        <v>100000</v>
      </c>
      <c r="G11" s="118">
        <f t="shared" si="6"/>
        <v>50000</v>
      </c>
      <c r="H11" s="118">
        <f t="shared" si="6"/>
        <v>0</v>
      </c>
      <c r="I11" s="166">
        <f t="shared" si="6"/>
        <v>0</v>
      </c>
      <c r="J11" s="64">
        <f t="shared" ref="J11:L11" si="7">J16+J21</f>
        <v>0</v>
      </c>
      <c r="K11" s="64">
        <f t="shared" si="7"/>
        <v>0</v>
      </c>
      <c r="L11" s="62">
        <f t="shared" si="7"/>
        <v>0</v>
      </c>
      <c r="M11" s="62">
        <f t="shared" ref="M11" si="8">M16+M21</f>
        <v>0</v>
      </c>
      <c r="N11" s="54"/>
      <c r="O11" s="43"/>
      <c r="P11" s="51" t="s">
        <v>139</v>
      </c>
      <c r="Q11" s="60">
        <f>D10</f>
        <v>142766687.31</v>
      </c>
      <c r="R11" s="60">
        <f>E10</f>
        <v>135979667.22000003</v>
      </c>
      <c r="S11" s="60">
        <f>F10</f>
        <v>164916549.38</v>
      </c>
      <c r="T11" s="60">
        <f>G10</f>
        <v>185525885.45999998</v>
      </c>
      <c r="U11" s="60">
        <f>H10</f>
        <v>210264261.19</v>
      </c>
      <c r="V11" s="60">
        <f t="shared" ref="V11" si="9">I10</f>
        <v>192222726.75999999</v>
      </c>
      <c r="W11" s="53"/>
    </row>
    <row r="12" spans="1:23" s="38" customFormat="1" ht="12.75" x14ac:dyDescent="0.2">
      <c r="A12" s="43">
        <v>3</v>
      </c>
      <c r="B12" s="61" t="s">
        <v>10</v>
      </c>
      <c r="C12" s="62">
        <f t="shared" si="2"/>
        <v>86363419</v>
      </c>
      <c r="D12" s="62">
        <f t="shared" si="6"/>
        <v>1160100</v>
      </c>
      <c r="E12" s="62">
        <f t="shared" si="6"/>
        <v>84200</v>
      </c>
      <c r="F12" s="62">
        <f t="shared" si="6"/>
        <v>703370</v>
      </c>
      <c r="G12" s="118">
        <f t="shared" si="6"/>
        <v>6032253</v>
      </c>
      <c r="H12" s="118">
        <f t="shared" si="6"/>
        <v>42665496</v>
      </c>
      <c r="I12" s="166">
        <f t="shared" si="6"/>
        <v>35328000</v>
      </c>
      <c r="J12" s="64">
        <f t="shared" ref="J12:L12" si="10">J17+J22</f>
        <v>195000</v>
      </c>
      <c r="K12" s="64">
        <f t="shared" si="10"/>
        <v>195000</v>
      </c>
      <c r="L12" s="62">
        <f t="shared" si="10"/>
        <v>0</v>
      </c>
      <c r="M12" s="62">
        <f t="shared" ref="M12" si="11">M17+M22</f>
        <v>0</v>
      </c>
      <c r="N12" s="54"/>
      <c r="O12" s="43"/>
      <c r="P12" s="51" t="s">
        <v>140</v>
      </c>
      <c r="Q12" s="63"/>
      <c r="R12" s="63">
        <v>74193026.260000005</v>
      </c>
      <c r="S12" s="63">
        <v>83398529.469999999</v>
      </c>
      <c r="T12" s="63">
        <v>73765762.469999999</v>
      </c>
      <c r="U12" s="63">
        <v>73805761.469999999</v>
      </c>
      <c r="V12" s="63">
        <f>U12</f>
        <v>73805761.469999999</v>
      </c>
      <c r="W12" s="53"/>
    </row>
    <row r="13" spans="1:23" s="38" customFormat="1" ht="12.75" x14ac:dyDescent="0.2">
      <c r="A13" s="43">
        <v>4</v>
      </c>
      <c r="B13" s="61" t="s">
        <v>11</v>
      </c>
      <c r="C13" s="62">
        <f t="shared" si="2"/>
        <v>1356825735.22</v>
      </c>
      <c r="D13" s="62">
        <f>D18+D23</f>
        <v>127702587.31</v>
      </c>
      <c r="E13" s="62">
        <f t="shared" si="6"/>
        <v>121163388.22000001</v>
      </c>
      <c r="F13" s="62">
        <f t="shared" si="6"/>
        <v>148095690.38</v>
      </c>
      <c r="G13" s="118">
        <f t="shared" si="6"/>
        <v>163377522.45999998</v>
      </c>
      <c r="H13" s="118">
        <f t="shared" si="6"/>
        <v>148581144.56999999</v>
      </c>
      <c r="I13" s="166">
        <f t="shared" si="6"/>
        <v>138712170.11999997</v>
      </c>
      <c r="J13" s="64">
        <f t="shared" ref="J13:L13" si="12">J18+J23</f>
        <v>132995901.28999999</v>
      </c>
      <c r="K13" s="64">
        <f t="shared" si="12"/>
        <v>132983087.37</v>
      </c>
      <c r="L13" s="62">
        <f t="shared" si="12"/>
        <v>121569621.75</v>
      </c>
      <c r="M13" s="62">
        <f t="shared" ref="M13" si="13">M18+M23</f>
        <v>121644621.75</v>
      </c>
      <c r="N13" s="54"/>
      <c r="O13" s="91"/>
      <c r="P13" s="51" t="s">
        <v>141</v>
      </c>
      <c r="Q13" s="63"/>
      <c r="R13" s="63">
        <v>47126601.719999999</v>
      </c>
      <c r="S13" s="63">
        <v>49496524</v>
      </c>
      <c r="T13" s="63">
        <v>47456057</v>
      </c>
      <c r="U13" s="63">
        <v>47416058</v>
      </c>
      <c r="V13" s="63">
        <f>U13</f>
        <v>47416058</v>
      </c>
      <c r="W13" s="53"/>
    </row>
    <row r="14" spans="1:23" s="38" customFormat="1" ht="12.75" x14ac:dyDescent="0.2">
      <c r="A14" s="43">
        <v>5</v>
      </c>
      <c r="B14" s="61" t="s">
        <v>12</v>
      </c>
      <c r="C14" s="62">
        <f t="shared" si="2"/>
        <v>161119306.57999998</v>
      </c>
      <c r="D14" s="62">
        <f t="shared" ref="D14" si="14">D19+D24</f>
        <v>13839400</v>
      </c>
      <c r="E14" s="62">
        <f t="shared" si="6"/>
        <v>14582079</v>
      </c>
      <c r="F14" s="62">
        <f t="shared" si="6"/>
        <v>16017489</v>
      </c>
      <c r="G14" s="118">
        <f t="shared" si="6"/>
        <v>16066110</v>
      </c>
      <c r="H14" s="118">
        <f t="shared" si="6"/>
        <v>19017620.620000001</v>
      </c>
      <c r="I14" s="166">
        <f t="shared" si="6"/>
        <v>18182556.640000001</v>
      </c>
      <c r="J14" s="64">
        <f t="shared" ref="J14:L14" si="15">J19+J24</f>
        <v>16020883.02</v>
      </c>
      <c r="K14" s="64">
        <f t="shared" si="15"/>
        <v>16073188.300000001</v>
      </c>
      <c r="L14" s="62">
        <f t="shared" si="15"/>
        <v>15659990</v>
      </c>
      <c r="M14" s="62">
        <f t="shared" ref="M14" si="16">M19+M24</f>
        <v>15659990</v>
      </c>
      <c r="N14" s="54"/>
      <c r="O14" s="43"/>
      <c r="P14" s="51" t="s">
        <v>142</v>
      </c>
      <c r="Q14" s="60">
        <f>Q11</f>
        <v>142766687.31</v>
      </c>
      <c r="R14" s="63">
        <f>SUM(R12:R13)</f>
        <v>121319627.98</v>
      </c>
      <c r="S14" s="63">
        <f>SUM(S12:S13)</f>
        <v>132895053.47</v>
      </c>
      <c r="T14" s="63">
        <f t="shared" ref="T14:V14" si="17">SUM(T12:T13)</f>
        <v>121221819.47</v>
      </c>
      <c r="U14" s="63">
        <f t="shared" si="17"/>
        <v>121221819.47</v>
      </c>
      <c r="V14" s="63">
        <f t="shared" si="17"/>
        <v>121221819.47</v>
      </c>
      <c r="W14" s="53"/>
    </row>
    <row r="15" spans="1:23" s="38" customFormat="1" ht="12.75" x14ac:dyDescent="0.2">
      <c r="A15" s="43">
        <v>6</v>
      </c>
      <c r="B15" s="65" t="s">
        <v>63</v>
      </c>
      <c r="C15" s="66">
        <f t="shared" si="2"/>
        <v>5090879.07</v>
      </c>
      <c r="D15" s="66">
        <f>SUM(D16:D19)</f>
        <v>0</v>
      </c>
      <c r="E15" s="66">
        <f t="shared" ref="E15:I15" si="18">SUM(E16:E19)</f>
        <v>0</v>
      </c>
      <c r="F15" s="66">
        <f t="shared" si="18"/>
        <v>668332</v>
      </c>
      <c r="G15" s="119">
        <f t="shared" si="18"/>
        <v>0</v>
      </c>
      <c r="H15" s="119">
        <f t="shared" si="18"/>
        <v>1440151.5</v>
      </c>
      <c r="I15" s="167">
        <f t="shared" si="18"/>
        <v>2982395.57</v>
      </c>
      <c r="J15" s="151">
        <f t="shared" ref="J15:L15" si="19">SUM(J16:J19)</f>
        <v>0</v>
      </c>
      <c r="K15" s="151">
        <f t="shared" si="19"/>
        <v>0</v>
      </c>
      <c r="L15" s="66">
        <f t="shared" si="19"/>
        <v>0</v>
      </c>
      <c r="M15" s="66">
        <f t="shared" ref="M15" si="20">SUM(M16:M19)</f>
        <v>0</v>
      </c>
      <c r="N15" s="54"/>
      <c r="O15" s="43"/>
      <c r="P15" s="51"/>
      <c r="Q15" s="67">
        <f>Q14/Q10*100</f>
        <v>11.384839737074113</v>
      </c>
      <c r="R15" s="67">
        <f>R14/R10*100</f>
        <v>9.9857181304347407</v>
      </c>
      <c r="S15" s="67">
        <f t="shared" ref="S15:V15" si="21">S14/S10*100</f>
        <v>12.374086743970524</v>
      </c>
      <c r="T15" s="67">
        <f t="shared" si="21"/>
        <v>11.448887100346912</v>
      </c>
      <c r="U15" s="67">
        <f t="shared" si="21"/>
        <v>11.53732138179903</v>
      </c>
      <c r="V15" s="67">
        <f t="shared" si="21"/>
        <v>11.53732138179903</v>
      </c>
      <c r="W15" s="53"/>
    </row>
    <row r="16" spans="1:23" s="38" customFormat="1" ht="12.75" x14ac:dyDescent="0.2">
      <c r="A16" s="43">
        <v>7</v>
      </c>
      <c r="B16" s="61" t="s">
        <v>59</v>
      </c>
      <c r="C16" s="62">
        <f t="shared" si="2"/>
        <v>0</v>
      </c>
      <c r="D16" s="62">
        <f t="shared" ref="D16:I19" si="22">D33+D219+D317+D380+D446+D536</f>
        <v>0</v>
      </c>
      <c r="E16" s="62">
        <f t="shared" si="22"/>
        <v>0</v>
      </c>
      <c r="F16" s="62">
        <f t="shared" si="22"/>
        <v>0</v>
      </c>
      <c r="G16" s="118">
        <f t="shared" si="22"/>
        <v>0</v>
      </c>
      <c r="H16" s="118">
        <f t="shared" si="22"/>
        <v>0</v>
      </c>
      <c r="I16" s="166">
        <f t="shared" si="22"/>
        <v>0</v>
      </c>
      <c r="J16" s="64">
        <f t="shared" ref="J16:L16" si="23">J33+J219+J317+J380+J446+J536</f>
        <v>0</v>
      </c>
      <c r="K16" s="64">
        <f t="shared" si="23"/>
        <v>0</v>
      </c>
      <c r="L16" s="62">
        <f t="shared" si="23"/>
        <v>0</v>
      </c>
      <c r="M16" s="62">
        <f t="shared" ref="M16" si="24">M33+M219+M317+M380+M446+M536</f>
        <v>0</v>
      </c>
      <c r="N16" s="54"/>
      <c r="O16" s="43"/>
      <c r="Q16" s="53"/>
      <c r="R16" s="53"/>
      <c r="S16" s="53"/>
      <c r="T16" s="53"/>
      <c r="U16" s="53"/>
      <c r="V16" s="53"/>
      <c r="W16" s="53"/>
    </row>
    <row r="17" spans="1:23" s="38" customFormat="1" ht="12.75" x14ac:dyDescent="0.2">
      <c r="A17" s="43">
        <v>8</v>
      </c>
      <c r="B17" s="61" t="s">
        <v>10</v>
      </c>
      <c r="C17" s="62">
        <f t="shared" si="2"/>
        <v>0</v>
      </c>
      <c r="D17" s="62">
        <f t="shared" si="22"/>
        <v>0</v>
      </c>
      <c r="E17" s="62">
        <f t="shared" si="22"/>
        <v>0</v>
      </c>
      <c r="F17" s="62">
        <f t="shared" si="22"/>
        <v>0</v>
      </c>
      <c r="G17" s="118">
        <f t="shared" si="22"/>
        <v>0</v>
      </c>
      <c r="H17" s="118">
        <f t="shared" si="22"/>
        <v>0</v>
      </c>
      <c r="I17" s="166">
        <f t="shared" si="22"/>
        <v>0</v>
      </c>
      <c r="J17" s="64">
        <f t="shared" ref="J17:L17" si="25">J34+J220+J318+J381+J447+J537</f>
        <v>0</v>
      </c>
      <c r="K17" s="64">
        <f t="shared" si="25"/>
        <v>0</v>
      </c>
      <c r="L17" s="62">
        <f t="shared" si="25"/>
        <v>0</v>
      </c>
      <c r="M17" s="62">
        <f t="shared" ref="M17" si="26">M34+M220+M318+M381+M447+M537</f>
        <v>0</v>
      </c>
      <c r="N17" s="54"/>
      <c r="O17" s="43"/>
      <c r="Q17" s="53"/>
      <c r="R17" s="53"/>
      <c r="S17" s="53"/>
      <c r="T17" s="53"/>
      <c r="U17" s="53"/>
      <c r="V17" s="53"/>
      <c r="W17" s="53"/>
    </row>
    <row r="18" spans="1:23" s="38" customFormat="1" ht="12.75" x14ac:dyDescent="0.2">
      <c r="A18" s="43">
        <v>9</v>
      </c>
      <c r="B18" s="61" t="s">
        <v>11</v>
      </c>
      <c r="C18" s="62">
        <f t="shared" si="2"/>
        <v>5090879.07</v>
      </c>
      <c r="D18" s="62">
        <f t="shared" si="22"/>
        <v>0</v>
      </c>
      <c r="E18" s="62">
        <f t="shared" si="22"/>
        <v>0</v>
      </c>
      <c r="F18" s="62">
        <f t="shared" si="22"/>
        <v>668332</v>
      </c>
      <c r="G18" s="118">
        <f t="shared" si="22"/>
        <v>0</v>
      </c>
      <c r="H18" s="118">
        <f t="shared" si="22"/>
        <v>1440151.5</v>
      </c>
      <c r="I18" s="166">
        <f t="shared" si="22"/>
        <v>2982395.57</v>
      </c>
      <c r="J18" s="64">
        <f t="shared" ref="J18:L18" si="27">J35+J221+J319+J382+J448+J538</f>
        <v>0</v>
      </c>
      <c r="K18" s="64">
        <f t="shared" si="27"/>
        <v>0</v>
      </c>
      <c r="L18" s="62">
        <f t="shared" si="27"/>
        <v>0</v>
      </c>
      <c r="M18" s="62">
        <f t="shared" ref="M18" si="28">M35+M221+M319+M382+M448+M538</f>
        <v>0</v>
      </c>
      <c r="N18" s="54"/>
      <c r="O18" s="43"/>
      <c r="Q18" s="53"/>
      <c r="R18" s="53"/>
      <c r="S18" s="53"/>
      <c r="T18" s="53"/>
      <c r="U18" s="53"/>
      <c r="V18" s="53"/>
      <c r="W18" s="53"/>
    </row>
    <row r="19" spans="1:23" s="38" customFormat="1" ht="12.75" x14ac:dyDescent="0.2">
      <c r="A19" s="43">
        <v>10</v>
      </c>
      <c r="B19" s="61" t="s">
        <v>12</v>
      </c>
      <c r="C19" s="62">
        <f t="shared" si="2"/>
        <v>0</v>
      </c>
      <c r="D19" s="62">
        <f t="shared" si="22"/>
        <v>0</v>
      </c>
      <c r="E19" s="62">
        <f t="shared" si="22"/>
        <v>0</v>
      </c>
      <c r="F19" s="62">
        <f t="shared" si="22"/>
        <v>0</v>
      </c>
      <c r="G19" s="118">
        <f t="shared" si="22"/>
        <v>0</v>
      </c>
      <c r="H19" s="118">
        <f t="shared" si="22"/>
        <v>0</v>
      </c>
      <c r="I19" s="166">
        <f t="shared" si="22"/>
        <v>0</v>
      </c>
      <c r="J19" s="64">
        <f t="shared" ref="J19:L19" si="29">J36+J222+J320+J383+J449+J539</f>
        <v>0</v>
      </c>
      <c r="K19" s="64">
        <f t="shared" si="29"/>
        <v>0</v>
      </c>
      <c r="L19" s="62">
        <f t="shared" si="29"/>
        <v>0</v>
      </c>
      <c r="M19" s="62">
        <f t="shared" ref="M19" si="30">M36+M222+M320+M383+M449+M539</f>
        <v>0</v>
      </c>
      <c r="N19" s="54"/>
      <c r="O19" s="43"/>
      <c r="Q19" s="53"/>
      <c r="R19" s="53"/>
      <c r="S19" s="53"/>
      <c r="T19" s="53"/>
      <c r="U19" s="53"/>
      <c r="V19" s="53"/>
      <c r="W19" s="53"/>
    </row>
    <row r="20" spans="1:23" s="38" customFormat="1" ht="12.75" x14ac:dyDescent="0.2">
      <c r="A20" s="43">
        <v>11</v>
      </c>
      <c r="B20" s="65" t="s">
        <v>64</v>
      </c>
      <c r="C20" s="66">
        <f t="shared" si="2"/>
        <v>1599582181.73</v>
      </c>
      <c r="D20" s="66">
        <f>SUM(D21:D24)</f>
        <v>142766687.31</v>
      </c>
      <c r="E20" s="66">
        <f t="shared" ref="E20:I20" si="31">SUM(E21:E24)</f>
        <v>135979667.22000003</v>
      </c>
      <c r="F20" s="66">
        <f t="shared" si="31"/>
        <v>164248217.38</v>
      </c>
      <c r="G20" s="119">
        <f t="shared" si="31"/>
        <v>185525885.45999998</v>
      </c>
      <c r="H20" s="119">
        <f t="shared" si="31"/>
        <v>208824109.69</v>
      </c>
      <c r="I20" s="167">
        <f t="shared" si="31"/>
        <v>189240331.19</v>
      </c>
      <c r="J20" s="151">
        <f t="shared" ref="J20:L20" si="32">SUM(J21:J24)</f>
        <v>149211784.31</v>
      </c>
      <c r="K20" s="151">
        <f t="shared" si="32"/>
        <v>149251275.67000002</v>
      </c>
      <c r="L20" s="66">
        <f t="shared" si="32"/>
        <v>137229611.75</v>
      </c>
      <c r="M20" s="66">
        <f t="shared" ref="M20" si="33">SUM(M21:M24)</f>
        <v>137304611.75</v>
      </c>
      <c r="N20" s="54"/>
      <c r="O20" s="91"/>
      <c r="Q20" s="53"/>
      <c r="R20" s="53"/>
      <c r="S20" s="53"/>
      <c r="T20" s="53"/>
      <c r="U20" s="53"/>
      <c r="V20" s="53"/>
    </row>
    <row r="21" spans="1:23" s="38" customFormat="1" ht="12.75" x14ac:dyDescent="0.2">
      <c r="A21" s="43">
        <v>12</v>
      </c>
      <c r="B21" s="61" t="s">
        <v>59</v>
      </c>
      <c r="C21" s="62">
        <f t="shared" si="2"/>
        <v>364600</v>
      </c>
      <c r="D21" s="62">
        <f t="shared" ref="D21:I24" si="34">D61+D237+D335+D398+D464+D554</f>
        <v>64600</v>
      </c>
      <c r="E21" s="62">
        <f t="shared" si="34"/>
        <v>150000</v>
      </c>
      <c r="F21" s="62">
        <f t="shared" si="34"/>
        <v>100000</v>
      </c>
      <c r="G21" s="118">
        <f t="shared" si="34"/>
        <v>50000</v>
      </c>
      <c r="H21" s="118">
        <f t="shared" si="34"/>
        <v>0</v>
      </c>
      <c r="I21" s="166">
        <f t="shared" si="34"/>
        <v>0</v>
      </c>
      <c r="J21" s="64">
        <f t="shared" ref="J21:L21" si="35">J61+J237+J335+J398+J464+J554</f>
        <v>0</v>
      </c>
      <c r="K21" s="64">
        <f t="shared" si="35"/>
        <v>0</v>
      </c>
      <c r="L21" s="62">
        <f t="shared" si="35"/>
        <v>0</v>
      </c>
      <c r="M21" s="62">
        <f t="shared" ref="M21" si="36">M61+M237+M335+M398+M464+M554</f>
        <v>0</v>
      </c>
      <c r="N21" s="54"/>
      <c r="O21" s="43"/>
      <c r="Q21" s="53"/>
      <c r="R21" s="53"/>
      <c r="S21" s="53"/>
      <c r="T21" s="53"/>
      <c r="U21" s="53"/>
      <c r="V21" s="53"/>
    </row>
    <row r="22" spans="1:23" s="38" customFormat="1" ht="12" x14ac:dyDescent="0.2">
      <c r="A22" s="43">
        <v>13</v>
      </c>
      <c r="B22" s="61" t="s">
        <v>10</v>
      </c>
      <c r="C22" s="62">
        <f t="shared" si="2"/>
        <v>86363419</v>
      </c>
      <c r="D22" s="62">
        <f t="shared" si="34"/>
        <v>1160100</v>
      </c>
      <c r="E22" s="62">
        <f t="shared" si="34"/>
        <v>84200</v>
      </c>
      <c r="F22" s="62">
        <f t="shared" si="34"/>
        <v>703370</v>
      </c>
      <c r="G22" s="118">
        <f t="shared" si="34"/>
        <v>6032253</v>
      </c>
      <c r="H22" s="118">
        <f t="shared" si="34"/>
        <v>42665496</v>
      </c>
      <c r="I22" s="166">
        <f t="shared" si="34"/>
        <v>35328000</v>
      </c>
      <c r="J22" s="64">
        <f t="shared" ref="J22:L22" si="37">J62+J238+J336+J399+J465+J555</f>
        <v>195000</v>
      </c>
      <c r="K22" s="64">
        <f t="shared" si="37"/>
        <v>195000</v>
      </c>
      <c r="L22" s="62">
        <f t="shared" si="37"/>
        <v>0</v>
      </c>
      <c r="M22" s="62">
        <f t="shared" ref="M22" si="38">M62+M238+M336+M399+M465+M555</f>
        <v>0</v>
      </c>
      <c r="N22" s="54"/>
      <c r="O22" s="43"/>
    </row>
    <row r="23" spans="1:23" s="38" customFormat="1" ht="12" x14ac:dyDescent="0.2">
      <c r="A23" s="43">
        <v>14</v>
      </c>
      <c r="B23" s="61" t="s">
        <v>11</v>
      </c>
      <c r="C23" s="62">
        <f t="shared" si="2"/>
        <v>1351734856.1500001</v>
      </c>
      <c r="D23" s="62">
        <f t="shared" si="34"/>
        <v>127702587.31</v>
      </c>
      <c r="E23" s="62">
        <f t="shared" si="34"/>
        <v>121163388.22000001</v>
      </c>
      <c r="F23" s="62">
        <f t="shared" si="34"/>
        <v>147427358.38</v>
      </c>
      <c r="G23" s="118">
        <f t="shared" si="34"/>
        <v>163377522.45999998</v>
      </c>
      <c r="H23" s="118">
        <f t="shared" si="34"/>
        <v>147140993.06999999</v>
      </c>
      <c r="I23" s="166">
        <f t="shared" si="34"/>
        <v>135729774.54999998</v>
      </c>
      <c r="J23" s="64">
        <f t="shared" ref="J23:L23" si="39">J63+J239+J337+J400+J466+J556</f>
        <v>132995901.28999999</v>
      </c>
      <c r="K23" s="64">
        <f t="shared" si="39"/>
        <v>132983087.37</v>
      </c>
      <c r="L23" s="62">
        <f t="shared" si="39"/>
        <v>121569621.75</v>
      </c>
      <c r="M23" s="62">
        <f t="shared" ref="M23" si="40">M63+M239+M337+M400+M466+M556</f>
        <v>121644621.75</v>
      </c>
      <c r="N23" s="54"/>
      <c r="O23" s="43"/>
    </row>
    <row r="24" spans="1:23" s="38" customFormat="1" ht="12" x14ac:dyDescent="0.2">
      <c r="A24" s="43">
        <v>15</v>
      </c>
      <c r="B24" s="61" t="s">
        <v>12</v>
      </c>
      <c r="C24" s="62">
        <f t="shared" si="2"/>
        <v>161119306.57999998</v>
      </c>
      <c r="D24" s="62">
        <f t="shared" si="34"/>
        <v>13839400</v>
      </c>
      <c r="E24" s="62">
        <f t="shared" si="34"/>
        <v>14582079</v>
      </c>
      <c r="F24" s="62">
        <f t="shared" si="34"/>
        <v>16017489</v>
      </c>
      <c r="G24" s="118">
        <f t="shared" si="34"/>
        <v>16066110</v>
      </c>
      <c r="H24" s="118">
        <f t="shared" si="34"/>
        <v>19017620.620000001</v>
      </c>
      <c r="I24" s="166">
        <f t="shared" si="34"/>
        <v>18182556.640000001</v>
      </c>
      <c r="J24" s="64">
        <f t="shared" ref="J24:L24" si="41">J64+J240+J338+J401+J467+J557</f>
        <v>16020883.02</v>
      </c>
      <c r="K24" s="64">
        <f t="shared" si="41"/>
        <v>16073188.300000001</v>
      </c>
      <c r="L24" s="62">
        <f t="shared" si="41"/>
        <v>15659990</v>
      </c>
      <c r="M24" s="62">
        <f t="shared" ref="M24" si="42">M64+M240+M338+M401+M467+M557</f>
        <v>15659990</v>
      </c>
      <c r="N24" s="54"/>
      <c r="O24" s="43"/>
    </row>
    <row r="25" spans="1:23" s="38" customFormat="1" ht="23.25" customHeight="1" x14ac:dyDescent="0.2">
      <c r="A25" s="43">
        <v>16</v>
      </c>
      <c r="B25" s="231" t="s">
        <v>13</v>
      </c>
      <c r="C25" s="232"/>
      <c r="D25" s="232"/>
      <c r="E25" s="232"/>
      <c r="F25" s="232"/>
      <c r="G25" s="232"/>
      <c r="H25" s="232"/>
      <c r="I25" s="232"/>
      <c r="J25" s="232"/>
      <c r="K25" s="232"/>
      <c r="L25" s="232"/>
      <c r="M25" s="232"/>
      <c r="N25" s="233"/>
      <c r="O25" s="43"/>
    </row>
    <row r="26" spans="1:23" s="38" customFormat="1" ht="24" x14ac:dyDescent="0.2">
      <c r="A26" s="43">
        <v>17</v>
      </c>
      <c r="B26" s="57" t="s">
        <v>143</v>
      </c>
      <c r="C26" s="68">
        <f>SUM(D26:M26)</f>
        <v>983126865.2700001</v>
      </c>
      <c r="D26" s="68">
        <f>SUM(D27:D30)</f>
        <v>84813030.400000006</v>
      </c>
      <c r="E26" s="68">
        <f t="shared" ref="E26:J26" si="43">SUM(E27:E30)</f>
        <v>73908930.060000002</v>
      </c>
      <c r="F26" s="68">
        <f t="shared" si="43"/>
        <v>95496556.520000011</v>
      </c>
      <c r="G26" s="120">
        <f t="shared" si="43"/>
        <v>111363490.69</v>
      </c>
      <c r="H26" s="120">
        <f t="shared" si="43"/>
        <v>143390478.89000002</v>
      </c>
      <c r="I26" s="152">
        <f t="shared" si="43"/>
        <v>135309776.69</v>
      </c>
      <c r="J26" s="152">
        <f t="shared" si="43"/>
        <v>92205314.939999998</v>
      </c>
      <c r="K26" s="152">
        <f>K27+K28+K29+K30</f>
        <v>91719441.579999998</v>
      </c>
      <c r="L26" s="129">
        <f>L27+L28+L29+L30</f>
        <v>77422422.75</v>
      </c>
      <c r="M26" s="129">
        <f>M27+M28+M29+M30</f>
        <v>77497422.75</v>
      </c>
      <c r="N26" s="54"/>
      <c r="O26" s="91"/>
    </row>
    <row r="27" spans="1:23" s="38" customFormat="1" ht="12" x14ac:dyDescent="0.2">
      <c r="A27" s="43">
        <v>18</v>
      </c>
      <c r="B27" s="61" t="s">
        <v>59</v>
      </c>
      <c r="C27" s="69">
        <f>SUM(D27:M27)</f>
        <v>364600</v>
      </c>
      <c r="D27" s="70">
        <f t="shared" ref="D27:M30" si="44">D33+D61</f>
        <v>64600</v>
      </c>
      <c r="E27" s="70">
        <f t="shared" si="44"/>
        <v>150000</v>
      </c>
      <c r="F27" s="70">
        <f t="shared" si="44"/>
        <v>100000</v>
      </c>
      <c r="G27" s="121">
        <f t="shared" si="44"/>
        <v>50000</v>
      </c>
      <c r="H27" s="121">
        <f t="shared" si="44"/>
        <v>0</v>
      </c>
      <c r="I27" s="153">
        <f t="shared" si="44"/>
        <v>0</v>
      </c>
      <c r="J27" s="153">
        <v>0</v>
      </c>
      <c r="K27" s="153">
        <v>0</v>
      </c>
      <c r="L27" s="130">
        <v>0</v>
      </c>
      <c r="M27" s="130">
        <v>0</v>
      </c>
      <c r="N27" s="54"/>
      <c r="O27" s="43"/>
    </row>
    <row r="28" spans="1:23" s="38" customFormat="1" ht="12" x14ac:dyDescent="0.2">
      <c r="A28" s="43">
        <v>19</v>
      </c>
      <c r="B28" s="61" t="s">
        <v>10</v>
      </c>
      <c r="C28" s="69">
        <f>SUM(D28:M28)</f>
        <v>77612463</v>
      </c>
      <c r="D28" s="69">
        <f t="shared" si="44"/>
        <v>960100</v>
      </c>
      <c r="E28" s="69">
        <f t="shared" si="44"/>
        <v>0</v>
      </c>
      <c r="F28" s="69">
        <f t="shared" si="44"/>
        <v>275214</v>
      </c>
      <c r="G28" s="85">
        <f t="shared" si="44"/>
        <v>5573749</v>
      </c>
      <c r="H28" s="85">
        <f t="shared" si="44"/>
        <v>35475400</v>
      </c>
      <c r="I28" s="154">
        <f t="shared" si="44"/>
        <v>35328000</v>
      </c>
      <c r="J28" s="154">
        <v>0</v>
      </c>
      <c r="K28" s="154">
        <v>0</v>
      </c>
      <c r="L28" s="131">
        <v>0</v>
      </c>
      <c r="M28" s="131">
        <v>0</v>
      </c>
      <c r="N28" s="54"/>
      <c r="O28" s="43"/>
    </row>
    <row r="29" spans="1:23" s="38" customFormat="1" ht="12" x14ac:dyDescent="0.2">
      <c r="A29" s="43">
        <v>20</v>
      </c>
      <c r="B29" s="61" t="s">
        <v>11</v>
      </c>
      <c r="C29" s="69">
        <f>SUM(D29:M29)</f>
        <v>808745722.95000005</v>
      </c>
      <c r="D29" s="69">
        <f t="shared" si="44"/>
        <v>75140930.400000006</v>
      </c>
      <c r="E29" s="69">
        <f t="shared" si="44"/>
        <v>66010001.060000002</v>
      </c>
      <c r="F29" s="69">
        <f t="shared" si="44"/>
        <v>85852476.520000011</v>
      </c>
      <c r="G29" s="85">
        <f t="shared" si="44"/>
        <v>96556409.689999998</v>
      </c>
      <c r="H29" s="85">
        <f t="shared" si="44"/>
        <v>96594432.340000004</v>
      </c>
      <c r="I29" s="168">
        <f t="shared" si="44"/>
        <v>88405133.639999986</v>
      </c>
      <c r="J29" s="154">
        <f t="shared" si="44"/>
        <v>81679548.219999999</v>
      </c>
      <c r="K29" s="154">
        <f t="shared" si="44"/>
        <v>81141369.579999998</v>
      </c>
      <c r="L29" s="131">
        <f t="shared" si="44"/>
        <v>68645210.75</v>
      </c>
      <c r="M29" s="131">
        <f t="shared" si="44"/>
        <v>68720210.75</v>
      </c>
      <c r="N29" s="54"/>
      <c r="O29" s="43"/>
    </row>
    <row r="30" spans="1:23" s="38" customFormat="1" ht="12" x14ac:dyDescent="0.2">
      <c r="A30" s="43">
        <v>21</v>
      </c>
      <c r="B30" s="61" t="s">
        <v>12</v>
      </c>
      <c r="C30" s="69">
        <f>SUM(D30:M30)</f>
        <v>96404079.319999993</v>
      </c>
      <c r="D30" s="69">
        <f t="shared" si="44"/>
        <v>8647400</v>
      </c>
      <c r="E30" s="69">
        <f t="shared" si="44"/>
        <v>7748929</v>
      </c>
      <c r="F30" s="69">
        <f t="shared" si="44"/>
        <v>9268866</v>
      </c>
      <c r="G30" s="85">
        <f t="shared" si="44"/>
        <v>9183332</v>
      </c>
      <c r="H30" s="85">
        <f t="shared" si="44"/>
        <v>11320646.550000001</v>
      </c>
      <c r="I30" s="154">
        <f t="shared" si="44"/>
        <v>11576643.049999999</v>
      </c>
      <c r="J30" s="154">
        <f t="shared" si="44"/>
        <v>10525766.720000001</v>
      </c>
      <c r="K30" s="154">
        <f t="shared" si="44"/>
        <v>10578072</v>
      </c>
      <c r="L30" s="131">
        <f t="shared" si="44"/>
        <v>8777212</v>
      </c>
      <c r="M30" s="131">
        <f t="shared" si="44"/>
        <v>8777212</v>
      </c>
      <c r="N30" s="54"/>
      <c r="O30" s="43"/>
    </row>
    <row r="31" spans="1:23" s="38" customFormat="1" ht="12" x14ac:dyDescent="0.2">
      <c r="A31" s="43">
        <v>22</v>
      </c>
      <c r="B31" s="215" t="s">
        <v>20</v>
      </c>
      <c r="C31" s="216"/>
      <c r="D31" s="216"/>
      <c r="E31" s="216"/>
      <c r="F31" s="216"/>
      <c r="G31" s="216"/>
      <c r="H31" s="216"/>
      <c r="I31" s="216"/>
      <c r="J31" s="216"/>
      <c r="K31" s="216"/>
      <c r="L31" s="216"/>
      <c r="M31" s="216"/>
      <c r="N31" s="217"/>
      <c r="O31" s="43"/>
    </row>
    <row r="32" spans="1:23" s="38" customFormat="1" ht="36" x14ac:dyDescent="0.2">
      <c r="A32" s="43">
        <v>23</v>
      </c>
      <c r="B32" s="125" t="s">
        <v>144</v>
      </c>
      <c r="C32" s="120">
        <f>SUM(D32:M32)</f>
        <v>5090879.07</v>
      </c>
      <c r="D32" s="120">
        <f>SUM(D33:D36)</f>
        <v>0</v>
      </c>
      <c r="E32" s="120">
        <f t="shared" ref="E32:I32" si="45">SUM(E33:E36)</f>
        <v>0</v>
      </c>
      <c r="F32" s="120">
        <f t="shared" si="45"/>
        <v>668332</v>
      </c>
      <c r="G32" s="120">
        <f t="shared" si="45"/>
        <v>0</v>
      </c>
      <c r="H32" s="120">
        <f t="shared" si="45"/>
        <v>1440151.5</v>
      </c>
      <c r="I32" s="155">
        <f t="shared" si="45"/>
        <v>2982395.57</v>
      </c>
      <c r="J32" s="155">
        <f t="shared" ref="J32:M32" si="46">SUM(J33:J36)</f>
        <v>0</v>
      </c>
      <c r="K32" s="155">
        <f t="shared" si="46"/>
        <v>0</v>
      </c>
      <c r="L32" s="120">
        <f t="shared" si="46"/>
        <v>0</v>
      </c>
      <c r="M32" s="120">
        <f t="shared" si="46"/>
        <v>0</v>
      </c>
      <c r="N32" s="134"/>
      <c r="O32" s="43"/>
    </row>
    <row r="33" spans="1:15" s="38" customFormat="1" ht="12" x14ac:dyDescent="0.2">
      <c r="A33" s="43">
        <v>24</v>
      </c>
      <c r="B33" s="126" t="s">
        <v>59</v>
      </c>
      <c r="C33" s="85">
        <f>SUM(D33:M33)</f>
        <v>0</v>
      </c>
      <c r="D33" s="85">
        <f>D39+D55</f>
        <v>0</v>
      </c>
      <c r="E33" s="85">
        <f t="shared" ref="E33:I33" si="47">E39+E55</f>
        <v>0</v>
      </c>
      <c r="F33" s="85">
        <f t="shared" si="47"/>
        <v>0</v>
      </c>
      <c r="G33" s="85">
        <f t="shared" si="47"/>
        <v>0</v>
      </c>
      <c r="H33" s="85">
        <f t="shared" si="47"/>
        <v>0</v>
      </c>
      <c r="I33" s="77">
        <f t="shared" si="47"/>
        <v>0</v>
      </c>
      <c r="J33" s="77">
        <f t="shared" ref="J33:M33" si="48">J39+J55</f>
        <v>0</v>
      </c>
      <c r="K33" s="77">
        <f t="shared" si="48"/>
        <v>0</v>
      </c>
      <c r="L33" s="85">
        <f t="shared" si="48"/>
        <v>0</v>
      </c>
      <c r="M33" s="85">
        <f t="shared" si="48"/>
        <v>0</v>
      </c>
      <c r="N33" s="134"/>
      <c r="O33" s="43"/>
    </row>
    <row r="34" spans="1:15" s="38" customFormat="1" ht="12" x14ac:dyDescent="0.2">
      <c r="A34" s="43">
        <v>25</v>
      </c>
      <c r="B34" s="126" t="s">
        <v>10</v>
      </c>
      <c r="C34" s="85">
        <f>SUM(D34:M34)</f>
        <v>0</v>
      </c>
      <c r="D34" s="85">
        <f t="shared" ref="D34:I36" si="49">D40+D56</f>
        <v>0</v>
      </c>
      <c r="E34" s="85">
        <f t="shared" si="49"/>
        <v>0</v>
      </c>
      <c r="F34" s="85">
        <f t="shared" si="49"/>
        <v>0</v>
      </c>
      <c r="G34" s="85">
        <f t="shared" si="49"/>
        <v>0</v>
      </c>
      <c r="H34" s="85">
        <f t="shared" si="49"/>
        <v>0</v>
      </c>
      <c r="I34" s="77">
        <f t="shared" si="49"/>
        <v>0</v>
      </c>
      <c r="J34" s="77">
        <f t="shared" ref="J34:M34" si="50">J40+J56</f>
        <v>0</v>
      </c>
      <c r="K34" s="77">
        <f t="shared" si="50"/>
        <v>0</v>
      </c>
      <c r="L34" s="85">
        <f t="shared" si="50"/>
        <v>0</v>
      </c>
      <c r="M34" s="85">
        <f t="shared" si="50"/>
        <v>0</v>
      </c>
      <c r="N34" s="134"/>
      <c r="O34" s="43"/>
    </row>
    <row r="35" spans="1:15" s="38" customFormat="1" ht="12" x14ac:dyDescent="0.2">
      <c r="A35" s="43">
        <v>26</v>
      </c>
      <c r="B35" s="126" t="s">
        <v>11</v>
      </c>
      <c r="C35" s="85">
        <f>SUM(D35:M35)</f>
        <v>5090879.07</v>
      </c>
      <c r="D35" s="85">
        <f t="shared" si="49"/>
        <v>0</v>
      </c>
      <c r="E35" s="85">
        <f t="shared" si="49"/>
        <v>0</v>
      </c>
      <c r="F35" s="85">
        <f t="shared" si="49"/>
        <v>668332</v>
      </c>
      <c r="G35" s="85">
        <f t="shared" si="49"/>
        <v>0</v>
      </c>
      <c r="H35" s="85">
        <f t="shared" si="49"/>
        <v>1440151.5</v>
      </c>
      <c r="I35" s="77">
        <f t="shared" si="49"/>
        <v>2982395.57</v>
      </c>
      <c r="J35" s="77">
        <f t="shared" ref="J35:M35" si="51">J41+J57</f>
        <v>0</v>
      </c>
      <c r="K35" s="77">
        <f t="shared" si="51"/>
        <v>0</v>
      </c>
      <c r="L35" s="85">
        <f t="shared" si="51"/>
        <v>0</v>
      </c>
      <c r="M35" s="85">
        <f t="shared" si="51"/>
        <v>0</v>
      </c>
      <c r="N35" s="134"/>
      <c r="O35" s="43"/>
    </row>
    <row r="36" spans="1:15" s="38" customFormat="1" ht="12" x14ac:dyDescent="0.2">
      <c r="A36" s="43">
        <v>27</v>
      </c>
      <c r="B36" s="126" t="s">
        <v>12</v>
      </c>
      <c r="C36" s="85">
        <f>SUM(D36:M36)</f>
        <v>0</v>
      </c>
      <c r="D36" s="85">
        <f t="shared" si="49"/>
        <v>0</v>
      </c>
      <c r="E36" s="85">
        <f t="shared" si="49"/>
        <v>0</v>
      </c>
      <c r="F36" s="85">
        <f t="shared" si="49"/>
        <v>0</v>
      </c>
      <c r="G36" s="85">
        <f t="shared" si="49"/>
        <v>0</v>
      </c>
      <c r="H36" s="85">
        <f t="shared" si="49"/>
        <v>0</v>
      </c>
      <c r="I36" s="77">
        <f t="shared" si="49"/>
        <v>0</v>
      </c>
      <c r="J36" s="77">
        <f t="shared" ref="J36:M36" si="52">J42+J58</f>
        <v>0</v>
      </c>
      <c r="K36" s="77">
        <f t="shared" si="52"/>
        <v>0</v>
      </c>
      <c r="L36" s="85">
        <f t="shared" si="52"/>
        <v>0</v>
      </c>
      <c r="M36" s="85">
        <f t="shared" si="52"/>
        <v>0</v>
      </c>
      <c r="N36" s="134"/>
      <c r="O36" s="43"/>
    </row>
    <row r="37" spans="1:15" s="38" customFormat="1" ht="12" x14ac:dyDescent="0.2">
      <c r="A37" s="43">
        <v>28</v>
      </c>
      <c r="B37" s="235" t="s">
        <v>145</v>
      </c>
      <c r="C37" s="236"/>
      <c r="D37" s="236"/>
      <c r="E37" s="236"/>
      <c r="F37" s="236"/>
      <c r="G37" s="236"/>
      <c r="H37" s="236"/>
      <c r="I37" s="236"/>
      <c r="J37" s="236"/>
      <c r="K37" s="236"/>
      <c r="L37" s="236"/>
      <c r="M37" s="236"/>
      <c r="N37" s="237"/>
      <c r="O37" s="43"/>
    </row>
    <row r="38" spans="1:15" s="38" customFormat="1" ht="36" x14ac:dyDescent="0.2">
      <c r="A38" s="43">
        <v>29</v>
      </c>
      <c r="B38" s="136" t="s">
        <v>146</v>
      </c>
      <c r="C38" s="120">
        <f t="shared" ref="C38:C52" si="53">SUM(D38:M38)</f>
        <v>5090879.07</v>
      </c>
      <c r="D38" s="120">
        <f>SUM(D39:D42)</f>
        <v>0</v>
      </c>
      <c r="E38" s="120">
        <f t="shared" ref="E38:H38" si="54">SUM(E39:E42)</f>
        <v>0</v>
      </c>
      <c r="F38" s="120">
        <f t="shared" si="54"/>
        <v>668332</v>
      </c>
      <c r="G38" s="120">
        <f t="shared" si="54"/>
        <v>0</v>
      </c>
      <c r="H38" s="120">
        <f t="shared" si="54"/>
        <v>1440151.5</v>
      </c>
      <c r="I38" s="155">
        <f>SUM(I39:I42)</f>
        <v>2982395.57</v>
      </c>
      <c r="J38" s="155">
        <f t="shared" ref="J38:M38" si="55">SUM(J39:J42)</f>
        <v>0</v>
      </c>
      <c r="K38" s="155">
        <f t="shared" si="55"/>
        <v>0</v>
      </c>
      <c r="L38" s="120">
        <f t="shared" si="55"/>
        <v>0</v>
      </c>
      <c r="M38" s="120">
        <f t="shared" si="55"/>
        <v>0</v>
      </c>
      <c r="N38" s="134"/>
      <c r="O38" s="43"/>
    </row>
    <row r="39" spans="1:15" s="38" customFormat="1" ht="12" x14ac:dyDescent="0.2">
      <c r="A39" s="43">
        <v>30</v>
      </c>
      <c r="B39" s="136" t="s">
        <v>59</v>
      </c>
      <c r="C39" s="85">
        <f t="shared" si="53"/>
        <v>0</v>
      </c>
      <c r="D39" s="85">
        <f>D44+D49</f>
        <v>0</v>
      </c>
      <c r="E39" s="85">
        <f t="shared" ref="E39:I39" si="56">E44+E49</f>
        <v>0</v>
      </c>
      <c r="F39" s="85">
        <f t="shared" si="56"/>
        <v>0</v>
      </c>
      <c r="G39" s="85">
        <f t="shared" si="56"/>
        <v>0</v>
      </c>
      <c r="H39" s="85">
        <f t="shared" si="56"/>
        <v>0</v>
      </c>
      <c r="I39" s="77">
        <f t="shared" si="56"/>
        <v>0</v>
      </c>
      <c r="J39" s="77">
        <f t="shared" ref="J39:M39" si="57">J44+J49</f>
        <v>0</v>
      </c>
      <c r="K39" s="77">
        <f t="shared" si="57"/>
        <v>0</v>
      </c>
      <c r="L39" s="85">
        <f t="shared" si="57"/>
        <v>0</v>
      </c>
      <c r="M39" s="85">
        <f t="shared" si="57"/>
        <v>0</v>
      </c>
      <c r="N39" s="134"/>
      <c r="O39" s="43"/>
    </row>
    <row r="40" spans="1:15" s="38" customFormat="1" ht="12" x14ac:dyDescent="0.2">
      <c r="A40" s="43">
        <v>31</v>
      </c>
      <c r="B40" s="136" t="s">
        <v>10</v>
      </c>
      <c r="C40" s="85">
        <f t="shared" si="53"/>
        <v>0</v>
      </c>
      <c r="D40" s="85">
        <f t="shared" ref="D40:I42" si="58">D45+D50</f>
        <v>0</v>
      </c>
      <c r="E40" s="85">
        <f t="shared" si="58"/>
        <v>0</v>
      </c>
      <c r="F40" s="85">
        <f t="shared" si="58"/>
        <v>0</v>
      </c>
      <c r="G40" s="85">
        <f t="shared" si="58"/>
        <v>0</v>
      </c>
      <c r="H40" s="85">
        <f t="shared" si="58"/>
        <v>0</v>
      </c>
      <c r="I40" s="77">
        <f t="shared" si="58"/>
        <v>0</v>
      </c>
      <c r="J40" s="77">
        <f t="shared" ref="J40:M40" si="59">J45+J50</f>
        <v>0</v>
      </c>
      <c r="K40" s="77">
        <f t="shared" si="59"/>
        <v>0</v>
      </c>
      <c r="L40" s="85">
        <f t="shared" si="59"/>
        <v>0</v>
      </c>
      <c r="M40" s="85">
        <f t="shared" si="59"/>
        <v>0</v>
      </c>
      <c r="N40" s="134"/>
      <c r="O40" s="43"/>
    </row>
    <row r="41" spans="1:15" s="38" customFormat="1" ht="12" x14ac:dyDescent="0.2">
      <c r="A41" s="43">
        <v>32</v>
      </c>
      <c r="B41" s="136" t="s">
        <v>11</v>
      </c>
      <c r="C41" s="85">
        <f t="shared" si="53"/>
        <v>5090879.07</v>
      </c>
      <c r="D41" s="85">
        <f t="shared" si="58"/>
        <v>0</v>
      </c>
      <c r="E41" s="85">
        <f t="shared" si="58"/>
        <v>0</v>
      </c>
      <c r="F41" s="85">
        <f t="shared" si="58"/>
        <v>668332</v>
      </c>
      <c r="G41" s="85">
        <f t="shared" si="58"/>
        <v>0</v>
      </c>
      <c r="H41" s="85">
        <f t="shared" si="58"/>
        <v>1440151.5</v>
      </c>
      <c r="I41" s="77">
        <f t="shared" si="58"/>
        <v>2982395.57</v>
      </c>
      <c r="J41" s="77">
        <f t="shared" ref="J41:M41" si="60">J46+J51</f>
        <v>0</v>
      </c>
      <c r="K41" s="77">
        <f t="shared" si="60"/>
        <v>0</v>
      </c>
      <c r="L41" s="85">
        <f t="shared" si="60"/>
        <v>0</v>
      </c>
      <c r="M41" s="85">
        <f t="shared" si="60"/>
        <v>0</v>
      </c>
      <c r="N41" s="134"/>
      <c r="O41" s="43"/>
    </row>
    <row r="42" spans="1:15" s="38" customFormat="1" ht="12" x14ac:dyDescent="0.2">
      <c r="A42" s="43">
        <v>33</v>
      </c>
      <c r="B42" s="136" t="s">
        <v>12</v>
      </c>
      <c r="C42" s="85">
        <f t="shared" si="53"/>
        <v>0</v>
      </c>
      <c r="D42" s="85">
        <f t="shared" si="58"/>
        <v>0</v>
      </c>
      <c r="E42" s="85">
        <f t="shared" si="58"/>
        <v>0</v>
      </c>
      <c r="F42" s="85">
        <f t="shared" si="58"/>
        <v>0</v>
      </c>
      <c r="G42" s="85">
        <f t="shared" si="58"/>
        <v>0</v>
      </c>
      <c r="H42" s="85">
        <f t="shared" si="58"/>
        <v>0</v>
      </c>
      <c r="I42" s="77">
        <f t="shared" si="58"/>
        <v>0</v>
      </c>
      <c r="J42" s="77">
        <f t="shared" ref="J42:M42" si="61">J47+J52</f>
        <v>0</v>
      </c>
      <c r="K42" s="77">
        <f t="shared" si="61"/>
        <v>0</v>
      </c>
      <c r="L42" s="85">
        <f t="shared" si="61"/>
        <v>0</v>
      </c>
      <c r="M42" s="85">
        <f t="shared" si="61"/>
        <v>0</v>
      </c>
      <c r="N42" s="134"/>
      <c r="O42" s="43"/>
    </row>
    <row r="43" spans="1:15" s="38" customFormat="1" ht="60" x14ac:dyDescent="0.2">
      <c r="A43" s="43">
        <v>34</v>
      </c>
      <c r="B43" s="140" t="s">
        <v>147</v>
      </c>
      <c r="C43" s="120">
        <f t="shared" si="53"/>
        <v>4422547.07</v>
      </c>
      <c r="D43" s="120">
        <f t="shared" ref="D43:I43" si="62">SUM(D44:D47)</f>
        <v>0</v>
      </c>
      <c r="E43" s="120">
        <f t="shared" si="62"/>
        <v>0</v>
      </c>
      <c r="F43" s="120">
        <f t="shared" si="62"/>
        <v>0</v>
      </c>
      <c r="G43" s="120">
        <f t="shared" si="62"/>
        <v>0</v>
      </c>
      <c r="H43" s="120">
        <f t="shared" si="62"/>
        <v>1440151.5</v>
      </c>
      <c r="I43" s="155">
        <f t="shared" si="62"/>
        <v>2982395.57</v>
      </c>
      <c r="J43" s="155">
        <f t="shared" ref="J43:M43" si="63">SUM(J44:J47)</f>
        <v>0</v>
      </c>
      <c r="K43" s="155">
        <f t="shared" si="63"/>
        <v>0</v>
      </c>
      <c r="L43" s="120">
        <f t="shared" si="63"/>
        <v>0</v>
      </c>
      <c r="M43" s="120">
        <f t="shared" si="63"/>
        <v>0</v>
      </c>
      <c r="N43" s="134" t="s">
        <v>148</v>
      </c>
      <c r="O43" s="43" t="s">
        <v>149</v>
      </c>
    </row>
    <row r="44" spans="1:15" s="38" customFormat="1" ht="12" x14ac:dyDescent="0.2">
      <c r="A44" s="43">
        <v>35</v>
      </c>
      <c r="B44" s="126" t="str">
        <f>B33</f>
        <v>федеральный бюджет</v>
      </c>
      <c r="C44" s="85">
        <f t="shared" si="53"/>
        <v>0</v>
      </c>
      <c r="D44" s="85">
        <v>0</v>
      </c>
      <c r="E44" s="85">
        <v>0</v>
      </c>
      <c r="F44" s="85">
        <v>0</v>
      </c>
      <c r="G44" s="85">
        <v>0</v>
      </c>
      <c r="H44" s="85">
        <v>0</v>
      </c>
      <c r="I44" s="77">
        <v>0</v>
      </c>
      <c r="J44" s="77">
        <v>0</v>
      </c>
      <c r="K44" s="77">
        <v>0</v>
      </c>
      <c r="L44" s="85">
        <v>0</v>
      </c>
      <c r="M44" s="85">
        <v>0</v>
      </c>
      <c r="N44" s="134"/>
      <c r="O44" s="43"/>
    </row>
    <row r="45" spans="1:15" s="38" customFormat="1" ht="12" x14ac:dyDescent="0.2">
      <c r="A45" s="43">
        <v>36</v>
      </c>
      <c r="B45" s="126" t="str">
        <f>B34</f>
        <v>областной бюджет</v>
      </c>
      <c r="C45" s="85">
        <f t="shared" si="53"/>
        <v>0</v>
      </c>
      <c r="D45" s="85">
        <v>0</v>
      </c>
      <c r="E45" s="85">
        <v>0</v>
      </c>
      <c r="F45" s="85">
        <v>0</v>
      </c>
      <c r="G45" s="85">
        <v>0</v>
      </c>
      <c r="H45" s="85">
        <f>158400000-158400000</f>
        <v>0</v>
      </c>
      <c r="I45" s="77">
        <v>0</v>
      </c>
      <c r="J45" s="77">
        <v>0</v>
      </c>
      <c r="K45" s="77">
        <v>0</v>
      </c>
      <c r="L45" s="85">
        <v>0</v>
      </c>
      <c r="M45" s="85">
        <v>0</v>
      </c>
      <c r="N45" s="134"/>
      <c r="O45" s="43"/>
    </row>
    <row r="46" spans="1:15" s="38" customFormat="1" ht="12" x14ac:dyDescent="0.2">
      <c r="A46" s="43">
        <v>37</v>
      </c>
      <c r="B46" s="126" t="str">
        <f>B35</f>
        <v>местный бюджет</v>
      </c>
      <c r="C46" s="85">
        <f t="shared" si="53"/>
        <v>4422547.07</v>
      </c>
      <c r="D46" s="85">
        <v>0</v>
      </c>
      <c r="E46" s="85">
        <v>0</v>
      </c>
      <c r="F46" s="85">
        <f>4000000-4000000</f>
        <v>0</v>
      </c>
      <c r="G46" s="85">
        <v>0</v>
      </c>
      <c r="H46" s="85">
        <f>17600000-17600000+420000+1020151.5</f>
        <v>1440151.5</v>
      </c>
      <c r="I46" s="77">
        <v>2982395.57</v>
      </c>
      <c r="J46" s="77">
        <v>0</v>
      </c>
      <c r="K46" s="77">
        <v>0</v>
      </c>
      <c r="L46" s="85">
        <v>0</v>
      </c>
      <c r="M46" s="85">
        <v>0</v>
      </c>
      <c r="N46" s="134"/>
      <c r="O46" s="43"/>
    </row>
    <row r="47" spans="1:15" s="38" customFormat="1" ht="12" x14ac:dyDescent="0.2">
      <c r="A47" s="43">
        <v>38</v>
      </c>
      <c r="B47" s="126" t="str">
        <f>B36</f>
        <v>внебюджетные источники</v>
      </c>
      <c r="C47" s="85">
        <f t="shared" si="53"/>
        <v>0</v>
      </c>
      <c r="D47" s="85">
        <v>0</v>
      </c>
      <c r="E47" s="85">
        <v>0</v>
      </c>
      <c r="F47" s="85">
        <v>0</v>
      </c>
      <c r="G47" s="85">
        <v>0</v>
      </c>
      <c r="H47" s="85">
        <v>0</v>
      </c>
      <c r="I47" s="77">
        <v>0</v>
      </c>
      <c r="J47" s="77">
        <v>0</v>
      </c>
      <c r="K47" s="77">
        <v>0</v>
      </c>
      <c r="L47" s="85">
        <v>0</v>
      </c>
      <c r="M47" s="85">
        <v>0</v>
      </c>
      <c r="N47" s="134"/>
      <c r="O47" s="43"/>
    </row>
    <row r="48" spans="1:15" s="38" customFormat="1" ht="60" x14ac:dyDescent="0.2">
      <c r="A48" s="43">
        <v>39</v>
      </c>
      <c r="B48" s="140" t="s">
        <v>129</v>
      </c>
      <c r="C48" s="120">
        <f t="shared" si="53"/>
        <v>668332</v>
      </c>
      <c r="D48" s="120">
        <f t="shared" ref="D48:I48" si="64">SUM(D49:D52)</f>
        <v>0</v>
      </c>
      <c r="E48" s="120">
        <f t="shared" si="64"/>
        <v>0</v>
      </c>
      <c r="F48" s="120">
        <f t="shared" si="64"/>
        <v>668332</v>
      </c>
      <c r="G48" s="120">
        <f t="shared" si="64"/>
        <v>0</v>
      </c>
      <c r="H48" s="120">
        <f t="shared" si="64"/>
        <v>0</v>
      </c>
      <c r="I48" s="155">
        <f t="shared" si="64"/>
        <v>0</v>
      </c>
      <c r="J48" s="155">
        <f t="shared" ref="J48:M48" si="65">SUM(J49:J52)</f>
        <v>0</v>
      </c>
      <c r="K48" s="155">
        <f t="shared" si="65"/>
        <v>0</v>
      </c>
      <c r="L48" s="120">
        <f t="shared" si="65"/>
        <v>0</v>
      </c>
      <c r="M48" s="120">
        <f t="shared" si="65"/>
        <v>0</v>
      </c>
      <c r="N48" s="134" t="s">
        <v>150</v>
      </c>
      <c r="O48" s="43" t="s">
        <v>149</v>
      </c>
    </row>
    <row r="49" spans="1:15" s="38" customFormat="1" ht="12" x14ac:dyDescent="0.2">
      <c r="A49" s="43">
        <v>40</v>
      </c>
      <c r="B49" s="126" t="str">
        <f>B44</f>
        <v>федеральный бюджет</v>
      </c>
      <c r="C49" s="85">
        <f t="shared" si="53"/>
        <v>0</v>
      </c>
      <c r="D49" s="85">
        <v>0</v>
      </c>
      <c r="E49" s="85">
        <v>0</v>
      </c>
      <c r="F49" s="85">
        <v>0</v>
      </c>
      <c r="G49" s="85">
        <v>0</v>
      </c>
      <c r="H49" s="85">
        <v>0</v>
      </c>
      <c r="I49" s="77">
        <v>0</v>
      </c>
      <c r="J49" s="77">
        <v>0</v>
      </c>
      <c r="K49" s="77">
        <v>0</v>
      </c>
      <c r="L49" s="85">
        <v>0</v>
      </c>
      <c r="M49" s="85">
        <v>0</v>
      </c>
      <c r="N49" s="134"/>
      <c r="O49" s="43"/>
    </row>
    <row r="50" spans="1:15" s="38" customFormat="1" ht="12" x14ac:dyDescent="0.2">
      <c r="A50" s="43">
        <v>41</v>
      </c>
      <c r="B50" s="126" t="str">
        <f>B45</f>
        <v>областной бюджет</v>
      </c>
      <c r="C50" s="85">
        <f t="shared" si="53"/>
        <v>0</v>
      </c>
      <c r="D50" s="85">
        <v>0</v>
      </c>
      <c r="E50" s="85">
        <v>0</v>
      </c>
      <c r="F50" s="85">
        <v>0</v>
      </c>
      <c r="G50" s="85">
        <v>0</v>
      </c>
      <c r="H50" s="85">
        <v>0</v>
      </c>
      <c r="I50" s="77">
        <v>0</v>
      </c>
      <c r="J50" s="77">
        <v>0</v>
      </c>
      <c r="K50" s="77">
        <v>0</v>
      </c>
      <c r="L50" s="85">
        <v>0</v>
      </c>
      <c r="M50" s="85">
        <v>0</v>
      </c>
      <c r="N50" s="134"/>
      <c r="O50" s="43"/>
    </row>
    <row r="51" spans="1:15" s="38" customFormat="1" ht="12" x14ac:dyDescent="0.2">
      <c r="A51" s="43">
        <v>42</v>
      </c>
      <c r="B51" s="126" t="str">
        <f>B46</f>
        <v>местный бюджет</v>
      </c>
      <c r="C51" s="85">
        <f t="shared" si="53"/>
        <v>668332</v>
      </c>
      <c r="D51" s="85">
        <v>0</v>
      </c>
      <c r="E51" s="85">
        <v>0</v>
      </c>
      <c r="F51" s="85">
        <f>600000+68332</f>
        <v>668332</v>
      </c>
      <c r="G51" s="85">
        <v>0</v>
      </c>
      <c r="H51" s="85">
        <v>0</v>
      </c>
      <c r="I51" s="77">
        <v>0</v>
      </c>
      <c r="J51" s="77">
        <v>0</v>
      </c>
      <c r="K51" s="77">
        <v>0</v>
      </c>
      <c r="L51" s="85">
        <v>0</v>
      </c>
      <c r="M51" s="85">
        <v>0</v>
      </c>
      <c r="N51" s="134"/>
      <c r="O51" s="43"/>
    </row>
    <row r="52" spans="1:15" s="38" customFormat="1" ht="12" x14ac:dyDescent="0.2">
      <c r="A52" s="43">
        <v>43</v>
      </c>
      <c r="B52" s="126" t="str">
        <f>B47</f>
        <v>внебюджетные источники</v>
      </c>
      <c r="C52" s="85">
        <f t="shared" si="53"/>
        <v>0</v>
      </c>
      <c r="D52" s="85">
        <v>0</v>
      </c>
      <c r="E52" s="85">
        <v>0</v>
      </c>
      <c r="F52" s="85">
        <v>0</v>
      </c>
      <c r="G52" s="85">
        <v>0</v>
      </c>
      <c r="H52" s="85">
        <v>0</v>
      </c>
      <c r="I52" s="77">
        <v>0</v>
      </c>
      <c r="J52" s="77">
        <v>0</v>
      </c>
      <c r="K52" s="77">
        <v>0</v>
      </c>
      <c r="L52" s="85">
        <v>0</v>
      </c>
      <c r="M52" s="85">
        <v>0</v>
      </c>
      <c r="N52" s="134"/>
      <c r="O52" s="43"/>
    </row>
    <row r="53" spans="1:15" s="38" customFormat="1" ht="12" x14ac:dyDescent="0.2">
      <c r="A53" s="43">
        <v>44</v>
      </c>
      <c r="B53" s="238" t="s">
        <v>151</v>
      </c>
      <c r="C53" s="238"/>
      <c r="D53" s="238"/>
      <c r="E53" s="238"/>
      <c r="F53" s="238"/>
      <c r="G53" s="238"/>
      <c r="H53" s="238"/>
      <c r="I53" s="238"/>
      <c r="J53" s="238"/>
      <c r="K53" s="238"/>
      <c r="L53" s="238"/>
      <c r="M53" s="238"/>
      <c r="N53" s="238"/>
      <c r="O53" s="43"/>
    </row>
    <row r="54" spans="1:15" s="38" customFormat="1" ht="24" x14ac:dyDescent="0.2">
      <c r="A54" s="43">
        <v>45</v>
      </c>
      <c r="B54" s="141" t="s">
        <v>152</v>
      </c>
      <c r="C54" s="120">
        <f>SUM(D54:M54)</f>
        <v>0</v>
      </c>
      <c r="D54" s="120">
        <f t="shared" ref="D54:I54" si="66">SUM(D55:D58)</f>
        <v>0</v>
      </c>
      <c r="E54" s="120">
        <f t="shared" si="66"/>
        <v>0</v>
      </c>
      <c r="F54" s="120">
        <f t="shared" si="66"/>
        <v>0</v>
      </c>
      <c r="G54" s="120">
        <f t="shared" si="66"/>
        <v>0</v>
      </c>
      <c r="H54" s="120">
        <f t="shared" si="66"/>
        <v>0</v>
      </c>
      <c r="I54" s="155">
        <f t="shared" si="66"/>
        <v>0</v>
      </c>
      <c r="J54" s="155">
        <f t="shared" ref="J54:M54" si="67">SUM(J55:J58)</f>
        <v>0</v>
      </c>
      <c r="K54" s="155">
        <f t="shared" si="67"/>
        <v>0</v>
      </c>
      <c r="L54" s="120">
        <f t="shared" si="67"/>
        <v>0</v>
      </c>
      <c r="M54" s="120">
        <f t="shared" si="67"/>
        <v>0</v>
      </c>
      <c r="N54" s="40"/>
      <c r="O54" s="43"/>
    </row>
    <row r="55" spans="1:15" s="38" customFormat="1" ht="12" x14ac:dyDescent="0.2">
      <c r="A55" s="43">
        <v>46</v>
      </c>
      <c r="B55" s="136" t="s">
        <v>59</v>
      </c>
      <c r="C55" s="85">
        <f>SUM(D55:M55)</f>
        <v>0</v>
      </c>
      <c r="D55" s="85">
        <v>0</v>
      </c>
      <c r="E55" s="85">
        <v>0</v>
      </c>
      <c r="F55" s="85">
        <v>0</v>
      </c>
      <c r="G55" s="85">
        <v>0</v>
      </c>
      <c r="H55" s="85">
        <v>0</v>
      </c>
      <c r="I55" s="77">
        <v>0</v>
      </c>
      <c r="J55" s="77">
        <v>0</v>
      </c>
      <c r="K55" s="77">
        <v>0</v>
      </c>
      <c r="L55" s="85">
        <v>0</v>
      </c>
      <c r="M55" s="85">
        <v>0</v>
      </c>
      <c r="N55" s="134"/>
      <c r="O55" s="43"/>
    </row>
    <row r="56" spans="1:15" s="38" customFormat="1" ht="12" x14ac:dyDescent="0.2">
      <c r="A56" s="43">
        <v>47</v>
      </c>
      <c r="B56" s="136" t="s">
        <v>10</v>
      </c>
      <c r="C56" s="85">
        <f>SUM(D56:M56)</f>
        <v>0</v>
      </c>
      <c r="D56" s="85">
        <v>0</v>
      </c>
      <c r="E56" s="85">
        <v>0</v>
      </c>
      <c r="F56" s="85">
        <v>0</v>
      </c>
      <c r="G56" s="85">
        <v>0</v>
      </c>
      <c r="H56" s="85">
        <v>0</v>
      </c>
      <c r="I56" s="77">
        <v>0</v>
      </c>
      <c r="J56" s="77">
        <v>0</v>
      </c>
      <c r="K56" s="77">
        <v>0</v>
      </c>
      <c r="L56" s="85">
        <v>0</v>
      </c>
      <c r="M56" s="85">
        <v>0</v>
      </c>
      <c r="N56" s="134"/>
      <c r="O56" s="43"/>
    </row>
    <row r="57" spans="1:15" s="38" customFormat="1" ht="12" x14ac:dyDescent="0.2">
      <c r="A57" s="43">
        <v>48</v>
      </c>
      <c r="B57" s="136" t="s">
        <v>11</v>
      </c>
      <c r="C57" s="85">
        <f>SUM(D57:M57)</f>
        <v>0</v>
      </c>
      <c r="D57" s="85">
        <v>0</v>
      </c>
      <c r="E57" s="85">
        <v>0</v>
      </c>
      <c r="F57" s="85">
        <v>0</v>
      </c>
      <c r="G57" s="85">
        <v>0</v>
      </c>
      <c r="H57" s="85">
        <v>0</v>
      </c>
      <c r="I57" s="77">
        <v>0</v>
      </c>
      <c r="J57" s="77">
        <v>0</v>
      </c>
      <c r="K57" s="77">
        <v>0</v>
      </c>
      <c r="L57" s="85">
        <v>0</v>
      </c>
      <c r="M57" s="85">
        <v>0</v>
      </c>
      <c r="N57" s="134"/>
      <c r="O57" s="43"/>
    </row>
    <row r="58" spans="1:15" s="38" customFormat="1" ht="12" x14ac:dyDescent="0.2">
      <c r="A58" s="43">
        <v>49</v>
      </c>
      <c r="B58" s="136" t="s">
        <v>12</v>
      </c>
      <c r="C58" s="85">
        <f>SUM(D58:M58)</f>
        <v>0</v>
      </c>
      <c r="D58" s="85">
        <v>0</v>
      </c>
      <c r="E58" s="85">
        <v>0</v>
      </c>
      <c r="F58" s="85">
        <v>0</v>
      </c>
      <c r="G58" s="85">
        <v>0</v>
      </c>
      <c r="H58" s="85">
        <v>0</v>
      </c>
      <c r="I58" s="77">
        <v>0</v>
      </c>
      <c r="J58" s="77">
        <v>0</v>
      </c>
      <c r="K58" s="77">
        <v>0</v>
      </c>
      <c r="L58" s="85">
        <v>0</v>
      </c>
      <c r="M58" s="85">
        <v>0</v>
      </c>
      <c r="N58" s="134"/>
      <c r="O58" s="43"/>
    </row>
    <row r="59" spans="1:15" s="38" customFormat="1" ht="12" x14ac:dyDescent="0.2">
      <c r="A59" s="43">
        <v>50</v>
      </c>
      <c r="B59" s="224" t="s">
        <v>22</v>
      </c>
      <c r="C59" s="224"/>
      <c r="D59" s="224"/>
      <c r="E59" s="224"/>
      <c r="F59" s="224"/>
      <c r="G59" s="224"/>
      <c r="H59" s="224"/>
      <c r="I59" s="224"/>
      <c r="J59" s="224"/>
      <c r="K59" s="224"/>
      <c r="L59" s="224"/>
      <c r="M59" s="224"/>
      <c r="N59" s="224"/>
      <c r="O59" s="43"/>
    </row>
    <row r="60" spans="1:15" s="38" customFormat="1" ht="24" x14ac:dyDescent="0.2">
      <c r="A60" s="43">
        <v>51</v>
      </c>
      <c r="B60" s="57" t="s">
        <v>23</v>
      </c>
      <c r="C60" s="68">
        <f t="shared" ref="C60:C71" si="68">SUM(D60:M60)</f>
        <v>978425986.20000017</v>
      </c>
      <c r="D60" s="68">
        <f>SUM(D61:D64)</f>
        <v>84813030.400000006</v>
      </c>
      <c r="E60" s="68">
        <f t="shared" ref="E60:I60" si="69">SUM(E61:E64)</f>
        <v>73908930.060000002</v>
      </c>
      <c r="F60" s="68">
        <f t="shared" si="69"/>
        <v>94828224.520000011</v>
      </c>
      <c r="G60" s="120">
        <f t="shared" si="69"/>
        <v>111363490.69</v>
      </c>
      <c r="H60" s="120">
        <f t="shared" si="69"/>
        <v>141950327.39000002</v>
      </c>
      <c r="I60" s="155">
        <f t="shared" si="69"/>
        <v>132327381.11999999</v>
      </c>
      <c r="J60" s="155">
        <f t="shared" ref="J60:M60" si="70">SUM(J61:J64)</f>
        <v>92400314.939999998</v>
      </c>
      <c r="K60" s="155">
        <f t="shared" si="70"/>
        <v>91914441.579999998</v>
      </c>
      <c r="L60" s="68">
        <f t="shared" si="70"/>
        <v>77422422.75</v>
      </c>
      <c r="M60" s="68">
        <f t="shared" si="70"/>
        <v>77497422.75</v>
      </c>
      <c r="N60" s="54"/>
      <c r="O60" s="43"/>
    </row>
    <row r="61" spans="1:15" s="38" customFormat="1" ht="12" x14ac:dyDescent="0.2">
      <c r="A61" s="43">
        <v>52</v>
      </c>
      <c r="B61" s="61" t="s">
        <v>59</v>
      </c>
      <c r="C61" s="69">
        <f t="shared" si="68"/>
        <v>364600</v>
      </c>
      <c r="D61" s="69">
        <f>D66+D76+D94+D99+D109+D152+D157+D162+D172+D182+D192+D197+D202</f>
        <v>64600</v>
      </c>
      <c r="E61" s="69">
        <f t="shared" ref="E61:I64" si="71">E66+E76+E94+E99+E109+E152+E157+E162+E172+E182+E192+E197+E202</f>
        <v>150000</v>
      </c>
      <c r="F61" s="69">
        <f t="shared" si="71"/>
        <v>100000</v>
      </c>
      <c r="G61" s="85">
        <f t="shared" si="71"/>
        <v>50000</v>
      </c>
      <c r="H61" s="85">
        <f t="shared" si="71"/>
        <v>0</v>
      </c>
      <c r="I61" s="77">
        <f t="shared" si="71"/>
        <v>0</v>
      </c>
      <c r="J61" s="77">
        <f t="shared" ref="J61:M61" si="72">J66+J76+J94+J99+J109+J152+J157+J162+J172+J182+J192+J197+J202</f>
        <v>0</v>
      </c>
      <c r="K61" s="77">
        <f t="shared" si="72"/>
        <v>0</v>
      </c>
      <c r="L61" s="69">
        <f t="shared" si="72"/>
        <v>0</v>
      </c>
      <c r="M61" s="69">
        <f t="shared" si="72"/>
        <v>0</v>
      </c>
      <c r="N61" s="54"/>
      <c r="O61" s="43"/>
    </row>
    <row r="62" spans="1:15" s="38" customFormat="1" ht="12" x14ac:dyDescent="0.2">
      <c r="A62" s="43">
        <v>53</v>
      </c>
      <c r="B62" s="61" t="s">
        <v>10</v>
      </c>
      <c r="C62" s="69">
        <f t="shared" si="68"/>
        <v>78002463</v>
      </c>
      <c r="D62" s="69">
        <f>D67+D77+D95+D100+D110+D153+D158+D163+D173+D183+D193+D198+D203</f>
        <v>960100</v>
      </c>
      <c r="E62" s="69">
        <f t="shared" si="71"/>
        <v>0</v>
      </c>
      <c r="F62" s="69">
        <f t="shared" si="71"/>
        <v>275214</v>
      </c>
      <c r="G62" s="85">
        <f t="shared" si="71"/>
        <v>5573749</v>
      </c>
      <c r="H62" s="85">
        <f>H67+H77+H95+H100+H110+H153+H158+H163+H173+H183+H193+H198+H203</f>
        <v>35475400</v>
      </c>
      <c r="I62" s="77">
        <f t="shared" si="71"/>
        <v>35328000</v>
      </c>
      <c r="J62" s="77">
        <f t="shared" ref="J62:M62" si="73">J67+J77+J95+J100+J110+J153+J158+J163+J173+J183+J193+J198+J203</f>
        <v>195000</v>
      </c>
      <c r="K62" s="77">
        <f t="shared" si="73"/>
        <v>195000</v>
      </c>
      <c r="L62" s="69">
        <f t="shared" si="73"/>
        <v>0</v>
      </c>
      <c r="M62" s="69">
        <f t="shared" si="73"/>
        <v>0</v>
      </c>
      <c r="N62" s="54"/>
      <c r="O62" s="43"/>
    </row>
    <row r="63" spans="1:15" s="38" customFormat="1" ht="12" x14ac:dyDescent="0.2">
      <c r="A63" s="43">
        <v>54</v>
      </c>
      <c r="B63" s="61" t="s">
        <v>11</v>
      </c>
      <c r="C63" s="69">
        <f t="shared" si="68"/>
        <v>803654843.88</v>
      </c>
      <c r="D63" s="69">
        <f>D68+D78+D96+D101+D111+D154+D159+D164+D174+D184+D194+D199+D204</f>
        <v>75140930.400000006</v>
      </c>
      <c r="E63" s="69">
        <f t="shared" si="71"/>
        <v>66010001.060000002</v>
      </c>
      <c r="F63" s="69">
        <f t="shared" si="71"/>
        <v>85184144.520000011</v>
      </c>
      <c r="G63" s="85">
        <f t="shared" si="71"/>
        <v>96556409.689999998</v>
      </c>
      <c r="H63" s="85">
        <f t="shared" si="71"/>
        <v>95154280.840000004</v>
      </c>
      <c r="I63" s="77">
        <f>I68+I78+I96+I101+I111+I154+I159+I164+I174+I184+I194+I199+I204+I209</f>
        <v>85422738.069999993</v>
      </c>
      <c r="J63" s="77">
        <f>J68+J78+J96+J101+J111+J154+J159+J164+J174+J184+J194+J199+J204+J209</f>
        <v>81679548.219999999</v>
      </c>
      <c r="K63" s="77">
        <f>K68+K78+K96+K101+K111+K154+K159+K164+K174+K184+K194+K199+K204+K209</f>
        <v>81141369.579999998</v>
      </c>
      <c r="L63" s="69">
        <f t="shared" ref="L63:M63" si="74">L68+L78+L96+L101+L111+L154+L159+L164+L174+L184+L194+L199+L204</f>
        <v>68645210.75</v>
      </c>
      <c r="M63" s="69">
        <f t="shared" si="74"/>
        <v>68720210.75</v>
      </c>
      <c r="N63" s="54"/>
      <c r="O63" s="43"/>
    </row>
    <row r="64" spans="1:15" s="38" customFormat="1" ht="12" x14ac:dyDescent="0.2">
      <c r="A64" s="43">
        <v>55</v>
      </c>
      <c r="B64" s="61" t="s">
        <v>12</v>
      </c>
      <c r="C64" s="69">
        <f t="shared" si="68"/>
        <v>96404079.319999993</v>
      </c>
      <c r="D64" s="69">
        <f>D69+D79+D97+D102+D112+D155+D160+D165+D175+D185+D195+D200+D205</f>
        <v>8647400</v>
      </c>
      <c r="E64" s="69">
        <f t="shared" si="71"/>
        <v>7748929</v>
      </c>
      <c r="F64" s="69">
        <f t="shared" si="71"/>
        <v>9268866</v>
      </c>
      <c r="G64" s="85">
        <f t="shared" si="71"/>
        <v>9183332</v>
      </c>
      <c r="H64" s="85">
        <f t="shared" si="71"/>
        <v>11320646.550000001</v>
      </c>
      <c r="I64" s="77">
        <f t="shared" si="71"/>
        <v>11576643.049999999</v>
      </c>
      <c r="J64" s="77">
        <f t="shared" ref="J64:M64" si="75">J69+J79+J97+J102+J112+J155+J160+J165+J175+J185+J195+J200+J205</f>
        <v>10525766.720000001</v>
      </c>
      <c r="K64" s="77">
        <f t="shared" si="75"/>
        <v>10578072</v>
      </c>
      <c r="L64" s="69">
        <f t="shared" si="75"/>
        <v>8777212</v>
      </c>
      <c r="M64" s="69">
        <f t="shared" si="75"/>
        <v>8777212</v>
      </c>
      <c r="N64" s="54"/>
      <c r="O64" s="43"/>
    </row>
    <row r="65" spans="1:15" s="38" customFormat="1" ht="60" x14ac:dyDescent="0.2">
      <c r="A65" s="43">
        <v>56</v>
      </c>
      <c r="B65" s="65" t="s">
        <v>82</v>
      </c>
      <c r="C65" s="73">
        <f t="shared" si="68"/>
        <v>35047511.049999997</v>
      </c>
      <c r="D65" s="73">
        <f>SUM(D66:D69)</f>
        <v>3782500.88</v>
      </c>
      <c r="E65" s="73">
        <f>SUM(E66:E69)</f>
        <v>3089066</v>
      </c>
      <c r="F65" s="73">
        <f t="shared" ref="F65:I65" si="76">SUM(F66:F69)</f>
        <v>3511547</v>
      </c>
      <c r="G65" s="122">
        <f t="shared" si="76"/>
        <v>3291019.37</v>
      </c>
      <c r="H65" s="122">
        <f t="shared" si="76"/>
        <v>3069936.98</v>
      </c>
      <c r="I65" s="156">
        <f t="shared" si="76"/>
        <v>4412240.82</v>
      </c>
      <c r="J65" s="156">
        <f t="shared" ref="J65:M65" si="77">SUM(J66:J69)</f>
        <v>3595600</v>
      </c>
      <c r="K65" s="156">
        <f t="shared" si="77"/>
        <v>3595600</v>
      </c>
      <c r="L65" s="73">
        <f t="shared" si="77"/>
        <v>3350000</v>
      </c>
      <c r="M65" s="73">
        <f t="shared" si="77"/>
        <v>3350000</v>
      </c>
      <c r="N65" s="54" t="s">
        <v>153</v>
      </c>
      <c r="O65" s="43" t="s">
        <v>149</v>
      </c>
    </row>
    <row r="66" spans="1:15" s="38" customFormat="1" ht="12" x14ac:dyDescent="0.2">
      <c r="A66" s="43">
        <v>57</v>
      </c>
      <c r="B66" s="61" t="s">
        <v>59</v>
      </c>
      <c r="C66" s="69">
        <f t="shared" si="68"/>
        <v>0</v>
      </c>
      <c r="D66" s="69">
        <v>0</v>
      </c>
      <c r="E66" s="69">
        <v>0</v>
      </c>
      <c r="F66" s="69">
        <v>0</v>
      </c>
      <c r="G66" s="85">
        <v>0</v>
      </c>
      <c r="H66" s="85">
        <v>0</v>
      </c>
      <c r="I66" s="77">
        <v>0</v>
      </c>
      <c r="J66" s="77">
        <v>0</v>
      </c>
      <c r="K66" s="77">
        <v>0</v>
      </c>
      <c r="L66" s="69">
        <v>0</v>
      </c>
      <c r="M66" s="69">
        <v>0</v>
      </c>
      <c r="N66" s="54"/>
      <c r="O66" s="43"/>
    </row>
    <row r="67" spans="1:15" s="38" customFormat="1" ht="12" x14ac:dyDescent="0.2">
      <c r="A67" s="43">
        <v>58</v>
      </c>
      <c r="B67" s="61" t="s">
        <v>10</v>
      </c>
      <c r="C67" s="69">
        <f t="shared" si="68"/>
        <v>180000</v>
      </c>
      <c r="D67" s="69">
        <v>0</v>
      </c>
      <c r="E67" s="69">
        <v>0</v>
      </c>
      <c r="F67" s="69">
        <v>180000</v>
      </c>
      <c r="G67" s="85">
        <v>0</v>
      </c>
      <c r="H67" s="85">
        <v>0</v>
      </c>
      <c r="I67" s="77">
        <v>0</v>
      </c>
      <c r="J67" s="77">
        <v>0</v>
      </c>
      <c r="K67" s="77">
        <v>0</v>
      </c>
      <c r="L67" s="69">
        <v>0</v>
      </c>
      <c r="M67" s="69">
        <v>0</v>
      </c>
      <c r="N67" s="54"/>
      <c r="O67" s="43"/>
    </row>
    <row r="68" spans="1:15" s="38" customFormat="1" ht="12" x14ac:dyDescent="0.2">
      <c r="A68" s="43">
        <v>59</v>
      </c>
      <c r="B68" s="61" t="s">
        <v>11</v>
      </c>
      <c r="C68" s="69">
        <f t="shared" si="68"/>
        <v>34867511.049999997</v>
      </c>
      <c r="D68" s="69">
        <f>2400000+D73+30000-100000+300000+421000+582500.88</f>
        <v>3782500.88</v>
      </c>
      <c r="E68" s="69">
        <f>2400000+E73+695000-200000-29890+173956</f>
        <v>3089066</v>
      </c>
      <c r="F68" s="69">
        <f>2400000+540000+70757-23060+343850</f>
        <v>3331547</v>
      </c>
      <c r="G68" s="85">
        <f>4000000-1060000+90000+261019.37</f>
        <v>3291019.37</v>
      </c>
      <c r="H68" s="85">
        <f>4200000-1260000+90000-2935341.07+3055341.07-80063.02</f>
        <v>3069936.98</v>
      </c>
      <c r="I68" s="77">
        <v>4412240.82</v>
      </c>
      <c r="J68" s="77">
        <v>3595600</v>
      </c>
      <c r="K68" s="77">
        <v>3595600</v>
      </c>
      <c r="L68" s="69">
        <f>6000000-2970000+320000</f>
        <v>3350000</v>
      </c>
      <c r="M68" s="69">
        <f>6000000-2970000+320000</f>
        <v>3350000</v>
      </c>
      <c r="N68" s="54"/>
      <c r="O68" s="43"/>
    </row>
    <row r="69" spans="1:15" s="38" customFormat="1" ht="12" x14ac:dyDescent="0.2">
      <c r="A69" s="43">
        <v>60</v>
      </c>
      <c r="B69" s="61" t="s">
        <v>12</v>
      </c>
      <c r="C69" s="69">
        <f t="shared" si="68"/>
        <v>0</v>
      </c>
      <c r="D69" s="69">
        <v>0</v>
      </c>
      <c r="E69" s="69">
        <v>0</v>
      </c>
      <c r="F69" s="69">
        <v>0</v>
      </c>
      <c r="G69" s="85">
        <v>0</v>
      </c>
      <c r="H69" s="85">
        <v>0</v>
      </c>
      <c r="I69" s="77">
        <v>0</v>
      </c>
      <c r="J69" s="77">
        <v>0</v>
      </c>
      <c r="K69" s="77">
        <v>0</v>
      </c>
      <c r="L69" s="69">
        <v>0</v>
      </c>
      <c r="M69" s="69">
        <v>0</v>
      </c>
      <c r="N69" s="54"/>
      <c r="O69" s="43"/>
    </row>
    <row r="70" spans="1:15" s="38" customFormat="1" ht="72" x14ac:dyDescent="0.2">
      <c r="A70" s="43">
        <v>61</v>
      </c>
      <c r="B70" s="65" t="s">
        <v>115</v>
      </c>
      <c r="C70" s="73">
        <f t="shared" si="68"/>
        <v>705882.5</v>
      </c>
      <c r="D70" s="73">
        <f>SUM(D71:D74)</f>
        <v>149000</v>
      </c>
      <c r="E70" s="73">
        <f t="shared" ref="E70:I70" si="78">SUM(E71:E74)</f>
        <v>50000</v>
      </c>
      <c r="F70" s="73">
        <f t="shared" si="78"/>
        <v>187032.5</v>
      </c>
      <c r="G70" s="122">
        <f t="shared" si="78"/>
        <v>319850</v>
      </c>
      <c r="H70" s="122">
        <f t="shared" si="78"/>
        <v>0</v>
      </c>
      <c r="I70" s="156">
        <f t="shared" si="78"/>
        <v>0</v>
      </c>
      <c r="J70" s="156">
        <f t="shared" ref="J70:M70" si="79">SUM(J71:J74)</f>
        <v>0</v>
      </c>
      <c r="K70" s="156">
        <f t="shared" si="79"/>
        <v>0</v>
      </c>
      <c r="L70" s="73">
        <f t="shared" si="79"/>
        <v>0</v>
      </c>
      <c r="M70" s="73">
        <f t="shared" si="79"/>
        <v>0</v>
      </c>
      <c r="N70" s="54" t="s">
        <v>154</v>
      </c>
      <c r="O70" s="43" t="s">
        <v>149</v>
      </c>
    </row>
    <row r="71" spans="1:15" s="38" customFormat="1" ht="12" x14ac:dyDescent="0.2">
      <c r="A71" s="43">
        <v>62</v>
      </c>
      <c r="B71" s="61" t="s">
        <v>59</v>
      </c>
      <c r="C71" s="69">
        <f t="shared" si="68"/>
        <v>0</v>
      </c>
      <c r="D71" s="69">
        <v>0</v>
      </c>
      <c r="E71" s="69">
        <v>0</v>
      </c>
      <c r="F71" s="69">
        <v>0</v>
      </c>
      <c r="G71" s="85">
        <v>0</v>
      </c>
      <c r="H71" s="85">
        <v>0</v>
      </c>
      <c r="I71" s="77">
        <v>0</v>
      </c>
      <c r="J71" s="77">
        <v>0</v>
      </c>
      <c r="K71" s="77">
        <v>0</v>
      </c>
      <c r="L71" s="69">
        <v>0</v>
      </c>
      <c r="M71" s="69">
        <v>0</v>
      </c>
      <c r="N71" s="74"/>
      <c r="O71" s="43"/>
    </row>
    <row r="72" spans="1:15" s="38" customFormat="1" ht="12" x14ac:dyDescent="0.2">
      <c r="A72" s="43">
        <v>63</v>
      </c>
      <c r="B72" s="61" t="s">
        <v>10</v>
      </c>
      <c r="C72" s="69" t="e">
        <f>SUM(D72MI72)</f>
        <v>#NAME?</v>
      </c>
      <c r="D72" s="69">
        <v>0</v>
      </c>
      <c r="E72" s="69">
        <v>0</v>
      </c>
      <c r="F72" s="69">
        <v>0</v>
      </c>
      <c r="G72" s="85">
        <v>0</v>
      </c>
      <c r="H72" s="85">
        <v>0</v>
      </c>
      <c r="I72" s="77">
        <v>0</v>
      </c>
      <c r="J72" s="77">
        <v>0</v>
      </c>
      <c r="K72" s="77">
        <v>0</v>
      </c>
      <c r="L72" s="69">
        <v>0</v>
      </c>
      <c r="M72" s="69">
        <v>0</v>
      </c>
      <c r="N72" s="54"/>
      <c r="O72" s="43"/>
    </row>
    <row r="73" spans="1:15" s="38" customFormat="1" ht="12" x14ac:dyDescent="0.2">
      <c r="A73" s="43">
        <v>64</v>
      </c>
      <c r="B73" s="61" t="s">
        <v>11</v>
      </c>
      <c r="C73" s="69">
        <f t="shared" ref="C73:C104" si="80">SUM(D73:M73)</f>
        <v>705882.5</v>
      </c>
      <c r="D73" s="69">
        <v>149000</v>
      </c>
      <c r="E73" s="69">
        <v>50000</v>
      </c>
      <c r="F73" s="69">
        <f>100000+87032.5</f>
        <v>187032.5</v>
      </c>
      <c r="G73" s="85">
        <v>319850</v>
      </c>
      <c r="H73" s="85">
        <v>0</v>
      </c>
      <c r="I73" s="77">
        <v>0</v>
      </c>
      <c r="J73" s="77">
        <v>0</v>
      </c>
      <c r="K73" s="77">
        <v>0</v>
      </c>
      <c r="L73" s="69">
        <v>0</v>
      </c>
      <c r="M73" s="69">
        <v>0</v>
      </c>
      <c r="N73" s="54"/>
      <c r="O73" s="43"/>
    </row>
    <row r="74" spans="1:15" s="38" customFormat="1" ht="12" x14ac:dyDescent="0.2">
      <c r="A74" s="43">
        <v>65</v>
      </c>
      <c r="B74" s="61" t="s">
        <v>12</v>
      </c>
      <c r="C74" s="69">
        <f t="shared" si="80"/>
        <v>0</v>
      </c>
      <c r="D74" s="69"/>
      <c r="E74" s="69"/>
      <c r="F74" s="69"/>
      <c r="G74" s="85"/>
      <c r="H74" s="85"/>
      <c r="I74" s="77"/>
      <c r="J74" s="77"/>
      <c r="K74" s="77"/>
      <c r="L74" s="69"/>
      <c r="M74" s="69"/>
      <c r="N74" s="54"/>
      <c r="O74" s="43"/>
    </row>
    <row r="75" spans="1:15" s="38" customFormat="1" ht="60" x14ac:dyDescent="0.2">
      <c r="A75" s="43">
        <v>66</v>
      </c>
      <c r="B75" s="65" t="s">
        <v>78</v>
      </c>
      <c r="C75" s="73">
        <f t="shared" si="80"/>
        <v>11507287.32</v>
      </c>
      <c r="D75" s="73">
        <f>SUM(D76:D79)</f>
        <v>3764994.8200000003</v>
      </c>
      <c r="E75" s="73">
        <f t="shared" ref="E75:I75" si="81">SUM(E76:E79)</f>
        <v>450000</v>
      </c>
      <c r="F75" s="73">
        <f t="shared" si="81"/>
        <v>95214</v>
      </c>
      <c r="G75" s="122">
        <f t="shared" si="81"/>
        <v>1641488</v>
      </c>
      <c r="H75" s="122">
        <f t="shared" si="81"/>
        <v>2043448.18</v>
      </c>
      <c r="I75" s="156">
        <f t="shared" si="81"/>
        <v>917819</v>
      </c>
      <c r="J75" s="156">
        <f t="shared" ref="J75:M75" si="82">SUM(J76:J79)</f>
        <v>1297161.6599999999</v>
      </c>
      <c r="K75" s="156">
        <f t="shared" si="82"/>
        <v>1297161.6599999999</v>
      </c>
      <c r="L75" s="73">
        <f t="shared" si="82"/>
        <v>0</v>
      </c>
      <c r="M75" s="73">
        <f t="shared" si="82"/>
        <v>0</v>
      </c>
      <c r="N75" s="54" t="s">
        <v>154</v>
      </c>
      <c r="O75" s="43" t="s">
        <v>149</v>
      </c>
    </row>
    <row r="76" spans="1:15" s="38" customFormat="1" ht="12" x14ac:dyDescent="0.2">
      <c r="A76" s="43">
        <v>67</v>
      </c>
      <c r="B76" s="61" t="s">
        <v>59</v>
      </c>
      <c r="C76" s="69">
        <f t="shared" si="80"/>
        <v>0</v>
      </c>
      <c r="D76" s="69">
        <v>0</v>
      </c>
      <c r="E76" s="69">
        <v>0</v>
      </c>
      <c r="F76" s="69">
        <v>0</v>
      </c>
      <c r="G76" s="85">
        <v>0</v>
      </c>
      <c r="H76" s="85">
        <v>0</v>
      </c>
      <c r="I76" s="77">
        <v>0</v>
      </c>
      <c r="J76" s="77">
        <v>0</v>
      </c>
      <c r="K76" s="77">
        <v>0</v>
      </c>
      <c r="L76" s="69">
        <v>0</v>
      </c>
      <c r="M76" s="69">
        <v>0</v>
      </c>
      <c r="N76" s="54"/>
      <c r="O76" s="43"/>
    </row>
    <row r="77" spans="1:15" s="38" customFormat="1" ht="12" x14ac:dyDescent="0.2">
      <c r="A77" s="43">
        <v>68</v>
      </c>
      <c r="B77" s="61" t="s">
        <v>10</v>
      </c>
      <c r="C77" s="69">
        <f t="shared" si="80"/>
        <v>1643563</v>
      </c>
      <c r="D77" s="69">
        <v>650000</v>
      </c>
      <c r="E77" s="69">
        <f t="shared" ref="D77:I79" si="83">(E81+E85)*1000</f>
        <v>0</v>
      </c>
      <c r="F77" s="69">
        <v>95214</v>
      </c>
      <c r="G77" s="85">
        <f>48149+500000</f>
        <v>548149</v>
      </c>
      <c r="H77" s="85">
        <v>350200</v>
      </c>
      <c r="I77" s="77">
        <f t="shared" si="83"/>
        <v>0</v>
      </c>
      <c r="J77" s="77">
        <f t="shared" ref="J77:M77" si="84">(J81+J85)*1000</f>
        <v>0</v>
      </c>
      <c r="K77" s="77">
        <f t="shared" si="84"/>
        <v>0</v>
      </c>
      <c r="L77" s="69">
        <f t="shared" si="84"/>
        <v>0</v>
      </c>
      <c r="M77" s="69">
        <f t="shared" si="84"/>
        <v>0</v>
      </c>
      <c r="N77" s="54"/>
      <c r="O77" s="43"/>
    </row>
    <row r="78" spans="1:15" s="38" customFormat="1" ht="12" x14ac:dyDescent="0.2">
      <c r="A78" s="43">
        <v>69</v>
      </c>
      <c r="B78" s="61" t="s">
        <v>11</v>
      </c>
      <c r="C78" s="69">
        <f t="shared" si="80"/>
        <v>4237893.82</v>
      </c>
      <c r="D78" s="69">
        <f>(D82+D86)*1000+D91</f>
        <v>2814994.8200000003</v>
      </c>
      <c r="E78" s="69">
        <f>(E82+E86)*1000+50000</f>
        <v>150000</v>
      </c>
      <c r="F78" s="69">
        <f t="shared" si="83"/>
        <v>0</v>
      </c>
      <c r="G78" s="85">
        <f>(G82+G86)*1000-200000+955000+138339</f>
        <v>1093339</v>
      </c>
      <c r="H78" s="85">
        <f>(H82+H86)*1000+104500+30000+45060</f>
        <v>179560</v>
      </c>
      <c r="I78" s="77">
        <v>0</v>
      </c>
      <c r="J78" s="77">
        <f t="shared" ref="J78:M78" si="85">(J82+J86)*1000</f>
        <v>0</v>
      </c>
      <c r="K78" s="77">
        <f t="shared" si="85"/>
        <v>0</v>
      </c>
      <c r="L78" s="69">
        <f t="shared" si="85"/>
        <v>0</v>
      </c>
      <c r="M78" s="69">
        <f t="shared" si="85"/>
        <v>0</v>
      </c>
      <c r="N78" s="54"/>
      <c r="O78" s="43"/>
    </row>
    <row r="79" spans="1:15" s="38" customFormat="1" ht="12" x14ac:dyDescent="0.2">
      <c r="A79" s="43">
        <v>70</v>
      </c>
      <c r="B79" s="61" t="s">
        <v>12</v>
      </c>
      <c r="C79" s="69">
        <f t="shared" si="80"/>
        <v>5625830.5</v>
      </c>
      <c r="D79" s="69">
        <f t="shared" si="83"/>
        <v>300000</v>
      </c>
      <c r="E79" s="69">
        <f>(E83+E87)*1000</f>
        <v>300000</v>
      </c>
      <c r="F79" s="69">
        <f>(F83+F87)*1000-300000</f>
        <v>0</v>
      </c>
      <c r="G79" s="85">
        <f t="shared" ref="G79:M79" si="86">(G83+G87)*1000-400000</f>
        <v>0</v>
      </c>
      <c r="H79" s="85">
        <f>(H83+H87)*1000-400000+1513688.18</f>
        <v>1513688.18</v>
      </c>
      <c r="I79" s="77">
        <v>917819</v>
      </c>
      <c r="J79" s="77">
        <v>1297161.6599999999</v>
      </c>
      <c r="K79" s="77">
        <v>1297161.6599999999</v>
      </c>
      <c r="L79" s="69">
        <f t="shared" si="86"/>
        <v>0</v>
      </c>
      <c r="M79" s="69">
        <f t="shared" si="86"/>
        <v>0</v>
      </c>
      <c r="N79" s="54"/>
      <c r="O79" s="43"/>
    </row>
    <row r="80" spans="1:15" s="38" customFormat="1" ht="60" x14ac:dyDescent="0.2">
      <c r="A80" s="43"/>
      <c r="B80" s="61" t="s">
        <v>65</v>
      </c>
      <c r="C80" s="68">
        <f t="shared" si="80"/>
        <v>200</v>
      </c>
      <c r="D80" s="68">
        <f t="shared" ref="D80:I80" si="87">SUM(D81:D83)</f>
        <v>0</v>
      </c>
      <c r="E80" s="68">
        <f t="shared" si="87"/>
        <v>0</v>
      </c>
      <c r="F80" s="68">
        <f t="shared" si="87"/>
        <v>0</v>
      </c>
      <c r="G80" s="120">
        <f t="shared" si="87"/>
        <v>200</v>
      </c>
      <c r="H80" s="120">
        <f t="shared" si="87"/>
        <v>0</v>
      </c>
      <c r="I80" s="155">
        <f t="shared" si="87"/>
        <v>0</v>
      </c>
      <c r="J80" s="155">
        <f t="shared" ref="J80:M80" si="88">SUM(J81:J83)</f>
        <v>0</v>
      </c>
      <c r="K80" s="155">
        <f t="shared" si="88"/>
        <v>0</v>
      </c>
      <c r="L80" s="68">
        <f t="shared" si="88"/>
        <v>0</v>
      </c>
      <c r="M80" s="68">
        <f t="shared" si="88"/>
        <v>0</v>
      </c>
      <c r="N80" s="54" t="s">
        <v>154</v>
      </c>
      <c r="O80" s="43"/>
    </row>
    <row r="81" spans="1:15" s="38" customFormat="1" ht="12" x14ac:dyDescent="0.2">
      <c r="A81" s="43"/>
      <c r="B81" s="61" t="s">
        <v>10</v>
      </c>
      <c r="C81" s="69">
        <f t="shared" si="80"/>
        <v>0</v>
      </c>
      <c r="D81" s="69"/>
      <c r="E81" s="69"/>
      <c r="F81" s="69"/>
      <c r="G81" s="85"/>
      <c r="H81" s="85"/>
      <c r="I81" s="77"/>
      <c r="J81" s="77"/>
      <c r="K81" s="77"/>
      <c r="L81" s="69"/>
      <c r="M81" s="69"/>
      <c r="N81" s="54"/>
      <c r="O81" s="43"/>
    </row>
    <row r="82" spans="1:15" s="38" customFormat="1" ht="12" x14ac:dyDescent="0.2">
      <c r="A82" s="43"/>
      <c r="B82" s="61" t="s">
        <v>11</v>
      </c>
      <c r="C82" s="69">
        <f t="shared" si="80"/>
        <v>200</v>
      </c>
      <c r="D82" s="69"/>
      <c r="E82" s="69"/>
      <c r="F82" s="69"/>
      <c r="G82" s="85">
        <v>200</v>
      </c>
      <c r="H82" s="85"/>
      <c r="I82" s="77"/>
      <c r="J82" s="77"/>
      <c r="K82" s="77"/>
      <c r="L82" s="69"/>
      <c r="M82" s="69"/>
      <c r="N82" s="54"/>
      <c r="O82" s="43"/>
    </row>
    <row r="83" spans="1:15" s="38" customFormat="1" ht="12" x14ac:dyDescent="0.2">
      <c r="A83" s="43"/>
      <c r="B83" s="61" t="s">
        <v>12</v>
      </c>
      <c r="C83" s="69">
        <f t="shared" si="80"/>
        <v>0</v>
      </c>
      <c r="D83" s="69"/>
      <c r="E83" s="69"/>
      <c r="F83" s="69"/>
      <c r="G83" s="85"/>
      <c r="H83" s="85"/>
      <c r="I83" s="77"/>
      <c r="J83" s="77"/>
      <c r="K83" s="77"/>
      <c r="L83" s="69"/>
      <c r="M83" s="69"/>
      <c r="N83" s="54"/>
      <c r="O83" s="43"/>
    </row>
    <row r="84" spans="1:15" s="38" customFormat="1" ht="60" x14ac:dyDescent="0.2">
      <c r="A84" s="43"/>
      <c r="B84" s="61" t="s">
        <v>24</v>
      </c>
      <c r="C84" s="68">
        <f t="shared" si="80"/>
        <v>5500</v>
      </c>
      <c r="D84" s="68">
        <f t="shared" ref="D84:I84" si="89">SUM(D85:D87)</f>
        <v>2000</v>
      </c>
      <c r="E84" s="68">
        <f t="shared" si="89"/>
        <v>400</v>
      </c>
      <c r="F84" s="68">
        <f t="shared" si="89"/>
        <v>300</v>
      </c>
      <c r="G84" s="120">
        <f t="shared" si="89"/>
        <v>400</v>
      </c>
      <c r="H84" s="120">
        <f t="shared" si="89"/>
        <v>400</v>
      </c>
      <c r="I84" s="155">
        <f t="shared" si="89"/>
        <v>400</v>
      </c>
      <c r="J84" s="155">
        <f t="shared" ref="J84:M84" si="90">SUM(J85:J87)</f>
        <v>400</v>
      </c>
      <c r="K84" s="155">
        <f t="shared" si="90"/>
        <v>400</v>
      </c>
      <c r="L84" s="68">
        <f t="shared" si="90"/>
        <v>400</v>
      </c>
      <c r="M84" s="68">
        <f t="shared" si="90"/>
        <v>400</v>
      </c>
      <c r="N84" s="54"/>
      <c r="O84" s="43"/>
    </row>
    <row r="85" spans="1:15" s="38" customFormat="1" ht="12" x14ac:dyDescent="0.2">
      <c r="A85" s="43"/>
      <c r="B85" s="61" t="s">
        <v>10</v>
      </c>
      <c r="C85" s="69">
        <f t="shared" si="80"/>
        <v>0</v>
      </c>
      <c r="D85" s="69"/>
      <c r="E85" s="69"/>
      <c r="F85" s="69"/>
      <c r="G85" s="85"/>
      <c r="H85" s="85"/>
      <c r="I85" s="77"/>
      <c r="J85" s="77"/>
      <c r="K85" s="77"/>
      <c r="L85" s="69"/>
      <c r="M85" s="69"/>
      <c r="N85" s="54" t="s">
        <v>155</v>
      </c>
      <c r="O85" s="43"/>
    </row>
    <row r="86" spans="1:15" s="38" customFormat="1" ht="12" x14ac:dyDescent="0.2">
      <c r="A86" s="43"/>
      <c r="B86" s="61" t="s">
        <v>11</v>
      </c>
      <c r="C86" s="69">
        <f t="shared" si="80"/>
        <v>1800</v>
      </c>
      <c r="D86" s="69">
        <v>1700</v>
      </c>
      <c r="E86" s="69">
        <v>100</v>
      </c>
      <c r="F86" s="69">
        <v>0</v>
      </c>
      <c r="G86" s="85"/>
      <c r="H86" s="85"/>
      <c r="I86" s="77"/>
      <c r="J86" s="77"/>
      <c r="K86" s="77"/>
      <c r="L86" s="69"/>
      <c r="M86" s="69"/>
      <c r="N86" s="54"/>
      <c r="O86" s="43"/>
    </row>
    <row r="87" spans="1:15" s="38" customFormat="1" ht="12" x14ac:dyDescent="0.2">
      <c r="A87" s="43"/>
      <c r="B87" s="61" t="s">
        <v>12</v>
      </c>
      <c r="C87" s="69">
        <f t="shared" si="80"/>
        <v>3700</v>
      </c>
      <c r="D87" s="69">
        <v>300</v>
      </c>
      <c r="E87" s="69">
        <v>300</v>
      </c>
      <c r="F87" s="69">
        <v>300</v>
      </c>
      <c r="G87" s="85">
        <v>400</v>
      </c>
      <c r="H87" s="85">
        <v>400</v>
      </c>
      <c r="I87" s="77">
        <v>400</v>
      </c>
      <c r="J87" s="77">
        <v>400</v>
      </c>
      <c r="K87" s="77">
        <v>400</v>
      </c>
      <c r="L87" s="69">
        <v>400</v>
      </c>
      <c r="M87" s="69">
        <v>400</v>
      </c>
      <c r="N87" s="54"/>
      <c r="O87" s="43"/>
    </row>
    <row r="88" spans="1:15" s="38" customFormat="1" ht="72" x14ac:dyDescent="0.2">
      <c r="A88" s="43">
        <v>71</v>
      </c>
      <c r="B88" s="65" t="s">
        <v>116</v>
      </c>
      <c r="C88" s="73">
        <f t="shared" si="80"/>
        <v>1114994.82</v>
      </c>
      <c r="D88" s="73">
        <f>SUM(D89:D92)</f>
        <v>1114994.82</v>
      </c>
      <c r="E88" s="73">
        <f t="shared" ref="E88:I88" si="91">SUM(E89:E92)</f>
        <v>0</v>
      </c>
      <c r="F88" s="73">
        <f t="shared" si="91"/>
        <v>0</v>
      </c>
      <c r="G88" s="122">
        <f t="shared" si="91"/>
        <v>0</v>
      </c>
      <c r="H88" s="122">
        <f t="shared" si="91"/>
        <v>0</v>
      </c>
      <c r="I88" s="156">
        <f t="shared" si="91"/>
        <v>0</v>
      </c>
      <c r="J88" s="156">
        <f t="shared" ref="J88:M88" si="92">SUM(J89:J92)</f>
        <v>0</v>
      </c>
      <c r="K88" s="156">
        <f t="shared" si="92"/>
        <v>0</v>
      </c>
      <c r="L88" s="73">
        <f t="shared" si="92"/>
        <v>0</v>
      </c>
      <c r="M88" s="73">
        <f t="shared" si="92"/>
        <v>0</v>
      </c>
      <c r="N88" s="54" t="s">
        <v>156</v>
      </c>
      <c r="O88" s="43" t="s">
        <v>149</v>
      </c>
    </row>
    <row r="89" spans="1:15" s="38" customFormat="1" ht="12" x14ac:dyDescent="0.2">
      <c r="A89" s="43">
        <v>72</v>
      </c>
      <c r="B89" s="61" t="s">
        <v>59</v>
      </c>
      <c r="C89" s="69">
        <f t="shared" si="80"/>
        <v>0</v>
      </c>
      <c r="D89" s="69">
        <v>0</v>
      </c>
      <c r="E89" s="69">
        <v>0</v>
      </c>
      <c r="F89" s="69">
        <v>0</v>
      </c>
      <c r="G89" s="85">
        <v>0</v>
      </c>
      <c r="H89" s="85">
        <v>0</v>
      </c>
      <c r="I89" s="77">
        <v>0</v>
      </c>
      <c r="J89" s="77">
        <v>0</v>
      </c>
      <c r="K89" s="77">
        <v>0</v>
      </c>
      <c r="L89" s="69">
        <v>0</v>
      </c>
      <c r="M89" s="69">
        <v>0</v>
      </c>
      <c r="N89" s="74"/>
      <c r="O89" s="43"/>
    </row>
    <row r="90" spans="1:15" s="38" customFormat="1" ht="12" x14ac:dyDescent="0.2">
      <c r="A90" s="43">
        <v>73</v>
      </c>
      <c r="B90" s="61" t="s">
        <v>10</v>
      </c>
      <c r="C90" s="69">
        <f t="shared" si="80"/>
        <v>0</v>
      </c>
      <c r="D90" s="69">
        <v>0</v>
      </c>
      <c r="E90" s="69">
        <v>0</v>
      </c>
      <c r="F90" s="69">
        <v>0</v>
      </c>
      <c r="G90" s="85">
        <v>0</v>
      </c>
      <c r="H90" s="85">
        <v>0</v>
      </c>
      <c r="I90" s="77">
        <v>0</v>
      </c>
      <c r="J90" s="77">
        <v>0</v>
      </c>
      <c r="K90" s="77">
        <v>0</v>
      </c>
      <c r="L90" s="69">
        <v>0</v>
      </c>
      <c r="M90" s="69">
        <v>0</v>
      </c>
      <c r="N90" s="75"/>
      <c r="O90" s="43"/>
    </row>
    <row r="91" spans="1:15" s="38" customFormat="1" ht="12" x14ac:dyDescent="0.2">
      <c r="A91" s="43">
        <v>74</v>
      </c>
      <c r="B91" s="61" t="s">
        <v>11</v>
      </c>
      <c r="C91" s="69">
        <f t="shared" si="80"/>
        <v>1114994.82</v>
      </c>
      <c r="D91" s="69">
        <v>1114994.82</v>
      </c>
      <c r="E91" s="69">
        <v>0</v>
      </c>
      <c r="F91" s="69">
        <v>0</v>
      </c>
      <c r="G91" s="85">
        <v>0</v>
      </c>
      <c r="H91" s="85">
        <v>0</v>
      </c>
      <c r="I91" s="77">
        <v>0</v>
      </c>
      <c r="J91" s="77">
        <v>0</v>
      </c>
      <c r="K91" s="77">
        <v>0</v>
      </c>
      <c r="L91" s="69">
        <v>0</v>
      </c>
      <c r="M91" s="69">
        <v>0</v>
      </c>
      <c r="N91" s="54"/>
      <c r="O91" s="43"/>
    </row>
    <row r="92" spans="1:15" s="38" customFormat="1" ht="12" x14ac:dyDescent="0.2">
      <c r="A92" s="43">
        <v>75</v>
      </c>
      <c r="B92" s="61" t="s">
        <v>12</v>
      </c>
      <c r="C92" s="69">
        <f t="shared" si="80"/>
        <v>0</v>
      </c>
      <c r="D92" s="69"/>
      <c r="E92" s="69"/>
      <c r="F92" s="69"/>
      <c r="G92" s="85"/>
      <c r="H92" s="85"/>
      <c r="I92" s="77"/>
      <c r="J92" s="77"/>
      <c r="K92" s="77"/>
      <c r="L92" s="69"/>
      <c r="M92" s="69"/>
      <c r="N92" s="54"/>
      <c r="O92" s="43"/>
    </row>
    <row r="93" spans="1:15" s="38" customFormat="1" ht="96" x14ac:dyDescent="0.2">
      <c r="A93" s="43">
        <v>76</v>
      </c>
      <c r="B93" s="65" t="s">
        <v>25</v>
      </c>
      <c r="C93" s="73">
        <f t="shared" si="80"/>
        <v>823750</v>
      </c>
      <c r="D93" s="73">
        <f>SUM(D94:D97)</f>
        <v>50000</v>
      </c>
      <c r="E93" s="73">
        <f>SUM(E94:E97)</f>
        <v>70000</v>
      </c>
      <c r="F93" s="73">
        <f t="shared" ref="F93:I93" si="93">SUM(F94:F97)</f>
        <v>73750</v>
      </c>
      <c r="G93" s="122">
        <f t="shared" si="93"/>
        <v>90000</v>
      </c>
      <c r="H93" s="122">
        <f t="shared" si="93"/>
        <v>90000</v>
      </c>
      <c r="I93" s="156">
        <f t="shared" si="93"/>
        <v>90000</v>
      </c>
      <c r="J93" s="156">
        <f t="shared" ref="J93:M93" si="94">SUM(J94:J97)</f>
        <v>90000</v>
      </c>
      <c r="K93" s="156">
        <f t="shared" si="94"/>
        <v>90000</v>
      </c>
      <c r="L93" s="73">
        <f t="shared" si="94"/>
        <v>90000</v>
      </c>
      <c r="M93" s="73">
        <f t="shared" si="94"/>
        <v>90000</v>
      </c>
      <c r="N93" s="54" t="s">
        <v>157</v>
      </c>
      <c r="O93" s="43" t="s">
        <v>149</v>
      </c>
    </row>
    <row r="94" spans="1:15" s="38" customFormat="1" ht="12" x14ac:dyDescent="0.2">
      <c r="A94" s="43">
        <v>77</v>
      </c>
      <c r="B94" s="61" t="s">
        <v>59</v>
      </c>
      <c r="C94" s="69">
        <f t="shared" si="80"/>
        <v>0</v>
      </c>
      <c r="D94" s="69">
        <v>0</v>
      </c>
      <c r="E94" s="69">
        <v>0</v>
      </c>
      <c r="F94" s="69">
        <v>0</v>
      </c>
      <c r="G94" s="85">
        <v>0</v>
      </c>
      <c r="H94" s="85">
        <v>0</v>
      </c>
      <c r="I94" s="77">
        <v>0</v>
      </c>
      <c r="J94" s="77">
        <v>0</v>
      </c>
      <c r="K94" s="77">
        <v>0</v>
      </c>
      <c r="L94" s="69">
        <v>0</v>
      </c>
      <c r="M94" s="69">
        <v>0</v>
      </c>
      <c r="N94" s="54"/>
      <c r="O94" s="43"/>
    </row>
    <row r="95" spans="1:15" s="38" customFormat="1" ht="12" x14ac:dyDescent="0.2">
      <c r="A95" s="43">
        <v>78</v>
      </c>
      <c r="B95" s="61" t="s">
        <v>10</v>
      </c>
      <c r="C95" s="69">
        <f t="shared" si="80"/>
        <v>0</v>
      </c>
      <c r="D95" s="69">
        <v>0</v>
      </c>
      <c r="E95" s="69">
        <v>0</v>
      </c>
      <c r="F95" s="69">
        <v>0</v>
      </c>
      <c r="G95" s="85">
        <v>0</v>
      </c>
      <c r="H95" s="85">
        <v>0</v>
      </c>
      <c r="I95" s="77">
        <v>0</v>
      </c>
      <c r="J95" s="77">
        <v>0</v>
      </c>
      <c r="K95" s="77">
        <v>0</v>
      </c>
      <c r="L95" s="69">
        <v>0</v>
      </c>
      <c r="M95" s="69">
        <v>0</v>
      </c>
      <c r="N95" s="75"/>
      <c r="O95" s="43"/>
    </row>
    <row r="96" spans="1:15" s="38" customFormat="1" ht="12" x14ac:dyDescent="0.2">
      <c r="A96" s="43">
        <v>79</v>
      </c>
      <c r="B96" s="61" t="s">
        <v>11</v>
      </c>
      <c r="C96" s="69">
        <f t="shared" si="80"/>
        <v>823750</v>
      </c>
      <c r="D96" s="69">
        <f>100000-50000</f>
        <v>50000</v>
      </c>
      <c r="E96" s="69">
        <f>50000+20000</f>
        <v>70000</v>
      </c>
      <c r="F96" s="69">
        <f>50000+40000-16250</f>
        <v>73750</v>
      </c>
      <c r="G96" s="85">
        <f>170000-80000</f>
        <v>90000</v>
      </c>
      <c r="H96" s="85">
        <f t="shared" ref="H96:M96" si="95">200000-110000</f>
        <v>90000</v>
      </c>
      <c r="I96" s="77">
        <f t="shared" si="95"/>
        <v>90000</v>
      </c>
      <c r="J96" s="77">
        <f t="shared" si="95"/>
        <v>90000</v>
      </c>
      <c r="K96" s="77">
        <f t="shared" si="95"/>
        <v>90000</v>
      </c>
      <c r="L96" s="69">
        <f t="shared" si="95"/>
        <v>90000</v>
      </c>
      <c r="M96" s="69">
        <f t="shared" si="95"/>
        <v>90000</v>
      </c>
      <c r="N96" s="54"/>
      <c r="O96" s="43"/>
    </row>
    <row r="97" spans="1:15" s="38" customFormat="1" ht="12" x14ac:dyDescent="0.2">
      <c r="A97" s="43">
        <v>80</v>
      </c>
      <c r="B97" s="61" t="s">
        <v>12</v>
      </c>
      <c r="C97" s="69">
        <f t="shared" si="80"/>
        <v>0</v>
      </c>
      <c r="D97" s="69">
        <v>0</v>
      </c>
      <c r="E97" s="69">
        <v>0</v>
      </c>
      <c r="F97" s="69">
        <v>0</v>
      </c>
      <c r="G97" s="85">
        <v>0</v>
      </c>
      <c r="H97" s="85">
        <v>0</v>
      </c>
      <c r="I97" s="77">
        <v>0</v>
      </c>
      <c r="J97" s="77">
        <v>0</v>
      </c>
      <c r="K97" s="77">
        <v>0</v>
      </c>
      <c r="L97" s="69">
        <v>0</v>
      </c>
      <c r="M97" s="69">
        <v>0</v>
      </c>
      <c r="N97" s="54"/>
      <c r="O97" s="43"/>
    </row>
    <row r="98" spans="1:15" s="38" customFormat="1" ht="60" x14ac:dyDescent="0.2">
      <c r="A98" s="43">
        <v>81</v>
      </c>
      <c r="B98" s="65" t="s">
        <v>26</v>
      </c>
      <c r="C98" s="73">
        <f t="shared" si="80"/>
        <v>2472600.0300000003</v>
      </c>
      <c r="D98" s="73">
        <f>SUM(D99:D102)</f>
        <v>134575</v>
      </c>
      <c r="E98" s="73">
        <f t="shared" ref="E98:I98" si="96">SUM(E99:E102)</f>
        <v>53260</v>
      </c>
      <c r="F98" s="73">
        <f t="shared" si="96"/>
        <v>61289.53</v>
      </c>
      <c r="G98" s="122">
        <f t="shared" si="96"/>
        <v>106947.5</v>
      </c>
      <c r="H98" s="122">
        <f t="shared" si="96"/>
        <v>200000</v>
      </c>
      <c r="I98" s="156">
        <f t="shared" si="96"/>
        <v>976528</v>
      </c>
      <c r="J98" s="156">
        <f t="shared" ref="J98:M98" si="97">SUM(J99:J102)</f>
        <v>320000</v>
      </c>
      <c r="K98" s="156">
        <f t="shared" si="97"/>
        <v>320000</v>
      </c>
      <c r="L98" s="73">
        <f t="shared" si="97"/>
        <v>150000</v>
      </c>
      <c r="M98" s="73">
        <f t="shared" si="97"/>
        <v>150000</v>
      </c>
      <c r="N98" s="54" t="s">
        <v>154</v>
      </c>
      <c r="O98" s="43" t="s">
        <v>149</v>
      </c>
    </row>
    <row r="99" spans="1:15" s="38" customFormat="1" ht="12" x14ac:dyDescent="0.2">
      <c r="A99" s="43">
        <v>82</v>
      </c>
      <c r="B99" s="61" t="s">
        <v>59</v>
      </c>
      <c r="C99" s="69">
        <f t="shared" si="80"/>
        <v>0</v>
      </c>
      <c r="D99" s="69">
        <v>0</v>
      </c>
      <c r="E99" s="69">
        <v>0</v>
      </c>
      <c r="F99" s="69">
        <v>0</v>
      </c>
      <c r="G99" s="85">
        <v>0</v>
      </c>
      <c r="H99" s="85">
        <v>0</v>
      </c>
      <c r="I99" s="77">
        <v>0</v>
      </c>
      <c r="J99" s="77">
        <v>0</v>
      </c>
      <c r="K99" s="77">
        <v>0</v>
      </c>
      <c r="L99" s="69">
        <v>0</v>
      </c>
      <c r="M99" s="69">
        <v>0</v>
      </c>
      <c r="N99" s="54"/>
      <c r="O99" s="43"/>
    </row>
    <row r="100" spans="1:15" s="38" customFormat="1" ht="12" x14ac:dyDescent="0.2">
      <c r="A100" s="43">
        <v>83</v>
      </c>
      <c r="B100" s="61" t="s">
        <v>10</v>
      </c>
      <c r="C100" s="69">
        <f t="shared" si="80"/>
        <v>0</v>
      </c>
      <c r="D100" s="69">
        <v>0</v>
      </c>
      <c r="E100" s="69">
        <v>0</v>
      </c>
      <c r="F100" s="69">
        <v>0</v>
      </c>
      <c r="G100" s="85">
        <v>0</v>
      </c>
      <c r="H100" s="85">
        <v>0</v>
      </c>
      <c r="I100" s="77">
        <v>0</v>
      </c>
      <c r="J100" s="77">
        <v>0</v>
      </c>
      <c r="K100" s="77">
        <v>0</v>
      </c>
      <c r="L100" s="69">
        <v>0</v>
      </c>
      <c r="M100" s="69">
        <v>0</v>
      </c>
      <c r="O100" s="43"/>
    </row>
    <row r="101" spans="1:15" s="38" customFormat="1" ht="12" x14ac:dyDescent="0.2">
      <c r="A101" s="43">
        <v>84</v>
      </c>
      <c r="B101" s="61" t="s">
        <v>11</v>
      </c>
      <c r="C101" s="69">
        <f t="shared" si="80"/>
        <v>2472600.0300000003</v>
      </c>
      <c r="D101" s="69">
        <f>100000+100000-65425</f>
        <v>134575</v>
      </c>
      <c r="E101" s="69">
        <f>66000+63000-40000-35740</f>
        <v>53260</v>
      </c>
      <c r="F101" s="69">
        <f>66000+234000-238710.47</f>
        <v>61289.53</v>
      </c>
      <c r="G101" s="85">
        <f>300000-100000+90000-183052.5</f>
        <v>106947.5</v>
      </c>
      <c r="H101" s="85">
        <f>350000-150000-100000+100000</f>
        <v>200000</v>
      </c>
      <c r="I101" s="77">
        <v>976528</v>
      </c>
      <c r="J101" s="77">
        <v>320000</v>
      </c>
      <c r="K101" s="77">
        <v>320000</v>
      </c>
      <c r="L101" s="69">
        <f>400000-250000</f>
        <v>150000</v>
      </c>
      <c r="M101" s="69">
        <f>400000-250000</f>
        <v>150000</v>
      </c>
      <c r="N101" s="54"/>
      <c r="O101" s="43"/>
    </row>
    <row r="102" spans="1:15" s="38" customFormat="1" ht="12" x14ac:dyDescent="0.2">
      <c r="A102" s="43">
        <v>85</v>
      </c>
      <c r="B102" s="61" t="s">
        <v>12</v>
      </c>
      <c r="C102" s="69">
        <f t="shared" si="80"/>
        <v>0</v>
      </c>
      <c r="D102" s="69">
        <v>0</v>
      </c>
      <c r="E102" s="69">
        <v>0</v>
      </c>
      <c r="F102" s="69">
        <v>0</v>
      </c>
      <c r="G102" s="85">
        <v>0</v>
      </c>
      <c r="H102" s="85">
        <v>0</v>
      </c>
      <c r="I102" s="77">
        <v>0</v>
      </c>
      <c r="J102" s="77">
        <v>0</v>
      </c>
      <c r="K102" s="77">
        <v>0</v>
      </c>
      <c r="L102" s="69">
        <v>0</v>
      </c>
      <c r="M102" s="69">
        <v>0</v>
      </c>
      <c r="N102" s="54"/>
      <c r="O102" s="43"/>
    </row>
    <row r="103" spans="1:15" s="38" customFormat="1" ht="72" x14ac:dyDescent="0.2">
      <c r="A103" s="43">
        <v>86</v>
      </c>
      <c r="B103" s="65" t="s">
        <v>158</v>
      </c>
      <c r="C103" s="76">
        <f t="shared" si="80"/>
        <v>15000</v>
      </c>
      <c r="D103" s="76">
        <f t="shared" ref="D103:I103" si="98">SUM(D104:D107)</f>
        <v>0</v>
      </c>
      <c r="E103" s="76">
        <f t="shared" si="98"/>
        <v>0</v>
      </c>
      <c r="F103" s="76">
        <f t="shared" si="98"/>
        <v>15000</v>
      </c>
      <c r="G103" s="123">
        <f t="shared" si="98"/>
        <v>0</v>
      </c>
      <c r="H103" s="123">
        <f t="shared" si="98"/>
        <v>0</v>
      </c>
      <c r="I103" s="157">
        <f t="shared" si="98"/>
        <v>0</v>
      </c>
      <c r="J103" s="157">
        <f t="shared" ref="J103:M103" si="99">SUM(J104:J107)</f>
        <v>0</v>
      </c>
      <c r="K103" s="157">
        <f t="shared" si="99"/>
        <v>0</v>
      </c>
      <c r="L103" s="76">
        <f t="shared" si="99"/>
        <v>0</v>
      </c>
      <c r="M103" s="76">
        <f t="shared" si="99"/>
        <v>0</v>
      </c>
      <c r="N103" s="54" t="s">
        <v>154</v>
      </c>
      <c r="O103" s="43" t="s">
        <v>149</v>
      </c>
    </row>
    <row r="104" spans="1:15" s="38" customFormat="1" ht="12" x14ac:dyDescent="0.2">
      <c r="A104" s="43">
        <v>87</v>
      </c>
      <c r="B104" s="61" t="s">
        <v>59</v>
      </c>
      <c r="C104" s="69">
        <f t="shared" si="80"/>
        <v>0</v>
      </c>
      <c r="D104" s="69">
        <v>0</v>
      </c>
      <c r="E104" s="69">
        <v>0</v>
      </c>
      <c r="F104" s="69">
        <v>0</v>
      </c>
      <c r="G104" s="85">
        <v>0</v>
      </c>
      <c r="H104" s="85">
        <v>0</v>
      </c>
      <c r="I104" s="77">
        <v>0</v>
      </c>
      <c r="J104" s="77">
        <v>0</v>
      </c>
      <c r="K104" s="77">
        <v>0</v>
      </c>
      <c r="L104" s="69">
        <v>0</v>
      </c>
      <c r="M104" s="69">
        <v>0</v>
      </c>
      <c r="N104" s="54"/>
      <c r="O104" s="43"/>
    </row>
    <row r="105" spans="1:15" s="38" customFormat="1" ht="12" x14ac:dyDescent="0.2">
      <c r="A105" s="43">
        <v>88</v>
      </c>
      <c r="B105" s="61" t="s">
        <v>10</v>
      </c>
      <c r="C105" s="69">
        <f t="shared" ref="C105:C136" si="100">SUM(D105:M105)</f>
        <v>0</v>
      </c>
      <c r="D105" s="69">
        <v>0</v>
      </c>
      <c r="E105" s="69">
        <v>0</v>
      </c>
      <c r="F105" s="69">
        <v>0</v>
      </c>
      <c r="G105" s="85">
        <v>0</v>
      </c>
      <c r="H105" s="85">
        <v>0</v>
      </c>
      <c r="I105" s="77">
        <v>0</v>
      </c>
      <c r="J105" s="77">
        <v>0</v>
      </c>
      <c r="K105" s="77">
        <v>0</v>
      </c>
      <c r="L105" s="69">
        <v>0</v>
      </c>
      <c r="M105" s="69">
        <v>0</v>
      </c>
      <c r="N105" s="54"/>
      <c r="O105" s="43"/>
    </row>
    <row r="106" spans="1:15" s="38" customFormat="1" ht="12" x14ac:dyDescent="0.2">
      <c r="A106" s="43">
        <v>89</v>
      </c>
      <c r="B106" s="61" t="s">
        <v>11</v>
      </c>
      <c r="C106" s="69">
        <f t="shared" si="100"/>
        <v>15000</v>
      </c>
      <c r="D106" s="69">
        <v>0</v>
      </c>
      <c r="E106" s="69">
        <v>0</v>
      </c>
      <c r="F106" s="69">
        <v>15000</v>
      </c>
      <c r="G106" s="85">
        <v>0</v>
      </c>
      <c r="H106" s="85">
        <v>0</v>
      </c>
      <c r="I106" s="77">
        <v>0</v>
      </c>
      <c r="J106" s="77">
        <v>0</v>
      </c>
      <c r="K106" s="77">
        <v>0</v>
      </c>
      <c r="L106" s="69">
        <v>0</v>
      </c>
      <c r="M106" s="69">
        <v>0</v>
      </c>
      <c r="N106" s="54"/>
      <c r="O106" s="43"/>
    </row>
    <row r="107" spans="1:15" s="38" customFormat="1" ht="12" x14ac:dyDescent="0.2">
      <c r="A107" s="43">
        <v>90</v>
      </c>
      <c r="B107" s="61" t="s">
        <v>12</v>
      </c>
      <c r="C107" s="69">
        <f t="shared" si="100"/>
        <v>0</v>
      </c>
      <c r="D107" s="69">
        <v>0</v>
      </c>
      <c r="E107" s="69">
        <v>0</v>
      </c>
      <c r="F107" s="69">
        <v>0</v>
      </c>
      <c r="G107" s="85">
        <v>0</v>
      </c>
      <c r="H107" s="85">
        <v>0</v>
      </c>
      <c r="I107" s="77">
        <v>0</v>
      </c>
      <c r="J107" s="77">
        <v>0</v>
      </c>
      <c r="K107" s="77">
        <v>0</v>
      </c>
      <c r="L107" s="69">
        <v>0</v>
      </c>
      <c r="M107" s="69">
        <v>0</v>
      </c>
      <c r="N107" s="54"/>
      <c r="O107" s="43"/>
    </row>
    <row r="108" spans="1:15" s="38" customFormat="1" ht="108" x14ac:dyDescent="0.2">
      <c r="A108" s="43">
        <v>91</v>
      </c>
      <c r="B108" s="65" t="s">
        <v>79</v>
      </c>
      <c r="C108" s="73">
        <f t="shared" si="100"/>
        <v>27783831.960000001</v>
      </c>
      <c r="D108" s="73">
        <f t="shared" ref="D108:I108" si="101">SUM(D109:D112)</f>
        <v>5728646.1899999995</v>
      </c>
      <c r="E108" s="73">
        <f t="shared" si="101"/>
        <v>1927806.04</v>
      </c>
      <c r="F108" s="73">
        <f t="shared" si="101"/>
        <v>3846151.22</v>
      </c>
      <c r="G108" s="122">
        <f t="shared" si="101"/>
        <v>1732265.9700000007</v>
      </c>
      <c r="H108" s="122">
        <f t="shared" si="101"/>
        <v>8440308.540000001</v>
      </c>
      <c r="I108" s="156">
        <f t="shared" si="101"/>
        <v>6108653.9999999991</v>
      </c>
      <c r="J108" s="156">
        <f t="shared" ref="J108:M108" si="102">SUM(J109:J112)</f>
        <v>0</v>
      </c>
      <c r="K108" s="156">
        <f t="shared" si="102"/>
        <v>0</v>
      </c>
      <c r="L108" s="73">
        <f t="shared" si="102"/>
        <v>0</v>
      </c>
      <c r="M108" s="73">
        <f t="shared" si="102"/>
        <v>0</v>
      </c>
      <c r="N108" s="54" t="s">
        <v>159</v>
      </c>
      <c r="O108" s="43" t="s">
        <v>149</v>
      </c>
    </row>
    <row r="109" spans="1:15" s="38" customFormat="1" ht="12" x14ac:dyDescent="0.2">
      <c r="A109" s="43">
        <v>92</v>
      </c>
      <c r="B109" s="61" t="s">
        <v>59</v>
      </c>
      <c r="C109" s="69">
        <f t="shared" si="100"/>
        <v>100000</v>
      </c>
      <c r="D109" s="69">
        <v>0</v>
      </c>
      <c r="E109" s="69">
        <v>100000</v>
      </c>
      <c r="F109" s="69">
        <v>0</v>
      </c>
      <c r="G109" s="85">
        <v>0</v>
      </c>
      <c r="H109" s="85">
        <v>0</v>
      </c>
      <c r="I109" s="77">
        <v>0</v>
      </c>
      <c r="J109" s="77">
        <v>0</v>
      </c>
      <c r="K109" s="77">
        <v>0</v>
      </c>
      <c r="L109" s="69">
        <v>0</v>
      </c>
      <c r="M109" s="69">
        <v>0</v>
      </c>
      <c r="N109" s="54"/>
      <c r="O109" s="43"/>
    </row>
    <row r="110" spans="1:15" s="38" customFormat="1" ht="12" x14ac:dyDescent="0.2">
      <c r="A110" s="43">
        <v>93</v>
      </c>
      <c r="B110" s="61" t="s">
        <v>10</v>
      </c>
      <c r="C110" s="69">
        <f t="shared" si="100"/>
        <v>175200</v>
      </c>
      <c r="D110" s="69">
        <f t="shared" ref="D110:G110" si="103">(D114+D118+D122+D126+D130+D134+D138)*1000</f>
        <v>0</v>
      </c>
      <c r="E110" s="69">
        <f t="shared" si="103"/>
        <v>0</v>
      </c>
      <c r="F110" s="69">
        <f t="shared" si="103"/>
        <v>0</v>
      </c>
      <c r="G110" s="85">
        <f t="shared" si="103"/>
        <v>0</v>
      </c>
      <c r="H110" s="85">
        <f>(H114+H118+H122+H126+H130+H134+H138)*1000+175200</f>
        <v>175200</v>
      </c>
      <c r="I110" s="77">
        <v>0</v>
      </c>
      <c r="J110" s="77">
        <f t="shared" ref="J110:M110" si="104">(J114+J118+J122+J126+J130+J134+J138)*1000</f>
        <v>0</v>
      </c>
      <c r="K110" s="77">
        <f t="shared" si="104"/>
        <v>0</v>
      </c>
      <c r="L110" s="69">
        <f t="shared" si="104"/>
        <v>0</v>
      </c>
      <c r="M110" s="69">
        <f t="shared" si="104"/>
        <v>0</v>
      </c>
      <c r="O110" s="43"/>
    </row>
    <row r="111" spans="1:15" s="38" customFormat="1" ht="12" x14ac:dyDescent="0.2">
      <c r="A111" s="43">
        <v>94</v>
      </c>
      <c r="B111" s="61" t="s">
        <v>11</v>
      </c>
      <c r="C111" s="69">
        <f t="shared" si="100"/>
        <v>24962586.82</v>
      </c>
      <c r="D111" s="69">
        <f>(D115+D119+D123+D127+D131+D135+D139+D144)*1000+D149</f>
        <v>5728646.1899999995</v>
      </c>
      <c r="E111" s="69">
        <f>(E115+E119+E123+E127+E131+E135+E139+E144)*1000+E149+400000+60812.96+294161.89-13816</f>
        <v>1741262.04</v>
      </c>
      <c r="F111" s="69">
        <f>7000000-7000000+3086339+578739+7057.47+174015.75</f>
        <v>3846151.22</v>
      </c>
      <c r="G111" s="85">
        <f>(G115+G119+G123+G127+G131+G135+G139+G144)*1000-6000000+1900395.1+2375011.37-2543140.5</f>
        <v>1732265.9700000007</v>
      </c>
      <c r="H111" s="85">
        <f>4750022.74+1865178.78-478626+1101368.02</f>
        <v>7237943.540000001</v>
      </c>
      <c r="I111" s="77">
        <f>4387597.56+288720.3</f>
        <v>4676317.8599999994</v>
      </c>
      <c r="J111" s="77">
        <v>0</v>
      </c>
      <c r="K111" s="77">
        <v>0</v>
      </c>
      <c r="L111" s="69">
        <f>(L115+L119+L123+L127+L131+L135+L139+L144)*1000-5500000</f>
        <v>0</v>
      </c>
      <c r="M111" s="69">
        <f>(M115+M119+M123+M127+M131+M135+M139+M144)*1000-5500000</f>
        <v>0</v>
      </c>
      <c r="N111" s="54"/>
      <c r="O111" s="43"/>
    </row>
    <row r="112" spans="1:15" s="38" customFormat="1" ht="12" x14ac:dyDescent="0.2">
      <c r="A112" s="43">
        <v>95</v>
      </c>
      <c r="B112" s="61" t="s">
        <v>12</v>
      </c>
      <c r="C112" s="69">
        <f t="shared" si="100"/>
        <v>2546045.1399999997</v>
      </c>
      <c r="D112" s="69">
        <v>0</v>
      </c>
      <c r="E112" s="69">
        <f>66551+19993</f>
        <v>86544</v>
      </c>
      <c r="F112" s="69">
        <v>0</v>
      </c>
      <c r="G112" s="85">
        <v>0</v>
      </c>
      <c r="H112" s="85">
        <f>34767.18+468019.09+524378.73</f>
        <v>1027165</v>
      </c>
      <c r="I112" s="77">
        <v>1432336.14</v>
      </c>
      <c r="J112" s="77">
        <v>0</v>
      </c>
      <c r="K112" s="77">
        <v>0</v>
      </c>
      <c r="L112" s="69">
        <v>0</v>
      </c>
      <c r="M112" s="69">
        <v>0</v>
      </c>
      <c r="N112" s="54"/>
      <c r="O112" s="43"/>
    </row>
    <row r="113" spans="1:15" s="38" customFormat="1" ht="84" x14ac:dyDescent="0.2">
      <c r="A113" s="43"/>
      <c r="B113" s="61" t="s">
        <v>27</v>
      </c>
      <c r="C113" s="69">
        <f t="shared" si="100"/>
        <v>6500</v>
      </c>
      <c r="D113" s="69">
        <f t="shared" ref="D113:I113" si="105">SUM(D114:D116)</f>
        <v>0</v>
      </c>
      <c r="E113" s="69">
        <f t="shared" si="105"/>
        <v>0</v>
      </c>
      <c r="F113" s="69">
        <v>3000</v>
      </c>
      <c r="G113" s="85">
        <f>SUM(G114:G116)</f>
        <v>2000</v>
      </c>
      <c r="H113" s="85">
        <f t="shared" si="105"/>
        <v>1500</v>
      </c>
      <c r="I113" s="77">
        <f t="shared" si="105"/>
        <v>0</v>
      </c>
      <c r="J113" s="77">
        <f t="shared" ref="J113:M113" si="106">SUM(J114:J116)</f>
        <v>0</v>
      </c>
      <c r="K113" s="77">
        <f t="shared" si="106"/>
        <v>0</v>
      </c>
      <c r="L113" s="69">
        <f t="shared" si="106"/>
        <v>0</v>
      </c>
      <c r="M113" s="69">
        <f t="shared" si="106"/>
        <v>0</v>
      </c>
      <c r="N113" s="54"/>
      <c r="O113" s="43"/>
    </row>
    <row r="114" spans="1:15" s="38" customFormat="1" ht="12" x14ac:dyDescent="0.2">
      <c r="A114" s="43"/>
      <c r="B114" s="61" t="s">
        <v>10</v>
      </c>
      <c r="C114" s="69">
        <f t="shared" si="100"/>
        <v>0</v>
      </c>
      <c r="D114" s="69"/>
      <c r="E114" s="69"/>
      <c r="F114" s="69"/>
      <c r="G114" s="85"/>
      <c r="H114" s="85"/>
      <c r="I114" s="77"/>
      <c r="J114" s="77"/>
      <c r="K114" s="77"/>
      <c r="L114" s="69"/>
      <c r="M114" s="69"/>
      <c r="N114" s="54"/>
      <c r="O114" s="43"/>
    </row>
    <row r="115" spans="1:15" s="38" customFormat="1" ht="24" x14ac:dyDescent="0.2">
      <c r="A115" s="43"/>
      <c r="B115" s="61" t="s">
        <v>11</v>
      </c>
      <c r="C115" s="69">
        <f t="shared" si="100"/>
        <v>3500</v>
      </c>
      <c r="D115" s="69"/>
      <c r="E115" s="69"/>
      <c r="F115" s="69"/>
      <c r="G115" s="85">
        <v>2000</v>
      </c>
      <c r="H115" s="85">
        <v>1500</v>
      </c>
      <c r="I115" s="77"/>
      <c r="J115" s="77"/>
      <c r="K115" s="77"/>
      <c r="L115" s="69"/>
      <c r="M115" s="69"/>
      <c r="N115" s="54" t="s">
        <v>160</v>
      </c>
      <c r="O115" s="43"/>
    </row>
    <row r="116" spans="1:15" s="38" customFormat="1" ht="12" x14ac:dyDescent="0.2">
      <c r="A116" s="43"/>
      <c r="B116" s="61" t="s">
        <v>12</v>
      </c>
      <c r="C116" s="69">
        <f t="shared" si="100"/>
        <v>0</v>
      </c>
      <c r="D116" s="69"/>
      <c r="E116" s="69"/>
      <c r="F116" s="69"/>
      <c r="G116" s="85"/>
      <c r="H116" s="85"/>
      <c r="I116" s="77"/>
      <c r="J116" s="77"/>
      <c r="K116" s="77"/>
      <c r="L116" s="69"/>
      <c r="M116" s="69"/>
      <c r="N116" s="54"/>
      <c r="O116" s="43"/>
    </row>
    <row r="117" spans="1:15" s="38" customFormat="1" ht="108" x14ac:dyDescent="0.2">
      <c r="A117" s="43"/>
      <c r="B117" s="61" t="s">
        <v>28</v>
      </c>
      <c r="C117" s="69">
        <f t="shared" si="100"/>
        <v>0</v>
      </c>
      <c r="D117" s="69">
        <f t="shared" ref="D117:I117" si="107">SUM(D118:D120)</f>
        <v>0</v>
      </c>
      <c r="E117" s="69">
        <f t="shared" si="107"/>
        <v>0</v>
      </c>
      <c r="F117" s="69">
        <f t="shared" si="107"/>
        <v>0</v>
      </c>
      <c r="G117" s="85">
        <f t="shared" si="107"/>
        <v>0</v>
      </c>
      <c r="H117" s="85">
        <f t="shared" si="107"/>
        <v>0</v>
      </c>
      <c r="I117" s="77">
        <f t="shared" si="107"/>
        <v>0</v>
      </c>
      <c r="J117" s="77">
        <f t="shared" ref="J117:M117" si="108">SUM(J118:J120)</f>
        <v>0</v>
      </c>
      <c r="K117" s="77">
        <f t="shared" si="108"/>
        <v>0</v>
      </c>
      <c r="L117" s="69">
        <f t="shared" si="108"/>
        <v>0</v>
      </c>
      <c r="M117" s="69">
        <f t="shared" si="108"/>
        <v>0</v>
      </c>
      <c r="N117" s="54"/>
      <c r="O117" s="43"/>
    </row>
    <row r="118" spans="1:15" s="38" customFormat="1" ht="12" x14ac:dyDescent="0.2">
      <c r="A118" s="43"/>
      <c r="B118" s="61" t="s">
        <v>10</v>
      </c>
      <c r="C118" s="69">
        <f t="shared" si="100"/>
        <v>0</v>
      </c>
      <c r="D118" s="69"/>
      <c r="E118" s="69"/>
      <c r="F118" s="69"/>
      <c r="G118" s="85"/>
      <c r="H118" s="85"/>
      <c r="I118" s="77"/>
      <c r="J118" s="77"/>
      <c r="K118" s="77"/>
      <c r="L118" s="69"/>
      <c r="M118" s="69"/>
      <c r="N118" s="54"/>
      <c r="O118" s="43"/>
    </row>
    <row r="119" spans="1:15" s="38" customFormat="1" ht="12" x14ac:dyDescent="0.2">
      <c r="A119" s="43"/>
      <c r="B119" s="61" t="s">
        <v>11</v>
      </c>
      <c r="C119" s="69">
        <f t="shared" si="100"/>
        <v>0</v>
      </c>
      <c r="D119" s="69"/>
      <c r="E119" s="69"/>
      <c r="F119" s="69"/>
      <c r="G119" s="85"/>
      <c r="H119" s="85"/>
      <c r="I119" s="77"/>
      <c r="J119" s="77"/>
      <c r="K119" s="77"/>
      <c r="L119" s="69"/>
      <c r="M119" s="69"/>
      <c r="N119" s="54"/>
      <c r="O119" s="43"/>
    </row>
    <row r="120" spans="1:15" s="38" customFormat="1" ht="24" x14ac:dyDescent="0.2">
      <c r="A120" s="43"/>
      <c r="B120" s="61" t="s">
        <v>12</v>
      </c>
      <c r="C120" s="69">
        <f t="shared" si="100"/>
        <v>0</v>
      </c>
      <c r="D120" s="69"/>
      <c r="E120" s="69"/>
      <c r="F120" s="69"/>
      <c r="G120" s="85"/>
      <c r="H120" s="85"/>
      <c r="I120" s="77"/>
      <c r="J120" s="77"/>
      <c r="K120" s="77"/>
      <c r="L120" s="69"/>
      <c r="M120" s="69"/>
      <c r="N120" s="54" t="s">
        <v>161</v>
      </c>
      <c r="O120" s="43"/>
    </row>
    <row r="121" spans="1:15" s="38" customFormat="1" ht="96" x14ac:dyDescent="0.2">
      <c r="A121" s="43"/>
      <c r="B121" s="61" t="s">
        <v>29</v>
      </c>
      <c r="C121" s="69">
        <f t="shared" si="100"/>
        <v>1500</v>
      </c>
      <c r="D121" s="69">
        <f t="shared" ref="D121:I121" si="109">SUM(D122:D124)</f>
        <v>1000</v>
      </c>
      <c r="E121" s="69">
        <f t="shared" si="109"/>
        <v>500</v>
      </c>
      <c r="F121" s="69">
        <f t="shared" si="109"/>
        <v>0</v>
      </c>
      <c r="G121" s="85">
        <f t="shared" si="109"/>
        <v>0</v>
      </c>
      <c r="H121" s="85">
        <f t="shared" si="109"/>
        <v>0</v>
      </c>
      <c r="I121" s="77">
        <f t="shared" si="109"/>
        <v>0</v>
      </c>
      <c r="J121" s="77">
        <f t="shared" ref="J121:M121" si="110">SUM(J122:J124)</f>
        <v>0</v>
      </c>
      <c r="K121" s="77">
        <f t="shared" si="110"/>
        <v>0</v>
      </c>
      <c r="L121" s="69">
        <f t="shared" si="110"/>
        <v>0</v>
      </c>
      <c r="M121" s="69">
        <f t="shared" si="110"/>
        <v>0</v>
      </c>
      <c r="N121" s="54"/>
      <c r="O121" s="43"/>
    </row>
    <row r="122" spans="1:15" s="38" customFormat="1" ht="12" x14ac:dyDescent="0.2">
      <c r="A122" s="43"/>
      <c r="B122" s="61" t="s">
        <v>10</v>
      </c>
      <c r="C122" s="69">
        <f t="shared" si="100"/>
        <v>0</v>
      </c>
      <c r="D122" s="69"/>
      <c r="E122" s="69"/>
      <c r="F122" s="69"/>
      <c r="G122" s="85"/>
      <c r="H122" s="85"/>
      <c r="I122" s="77"/>
      <c r="J122" s="77"/>
      <c r="K122" s="77"/>
      <c r="L122" s="69"/>
      <c r="M122" s="69"/>
      <c r="N122" s="54"/>
      <c r="O122" s="43"/>
    </row>
    <row r="123" spans="1:15" s="38" customFormat="1" ht="12" x14ac:dyDescent="0.2">
      <c r="A123" s="43"/>
      <c r="B123" s="61" t="s">
        <v>11</v>
      </c>
      <c r="C123" s="69">
        <f t="shared" si="100"/>
        <v>1500</v>
      </c>
      <c r="D123" s="69">
        <f>1500-500</f>
        <v>1000</v>
      </c>
      <c r="E123" s="69">
        <v>500</v>
      </c>
      <c r="F123" s="69"/>
      <c r="G123" s="85"/>
      <c r="H123" s="85"/>
      <c r="I123" s="77"/>
      <c r="J123" s="77"/>
      <c r="K123" s="77"/>
      <c r="L123" s="69"/>
      <c r="M123" s="69"/>
      <c r="N123" s="54"/>
      <c r="O123" s="43"/>
    </row>
    <row r="124" spans="1:15" s="38" customFormat="1" ht="12" x14ac:dyDescent="0.2">
      <c r="A124" s="43"/>
      <c r="B124" s="61" t="s">
        <v>12</v>
      </c>
      <c r="C124" s="69">
        <f t="shared" si="100"/>
        <v>0</v>
      </c>
      <c r="D124" s="69"/>
      <c r="E124" s="69"/>
      <c r="F124" s="69"/>
      <c r="G124" s="85"/>
      <c r="H124" s="85"/>
      <c r="I124" s="77"/>
      <c r="J124" s="77"/>
      <c r="K124" s="77"/>
      <c r="L124" s="69"/>
      <c r="M124" s="69"/>
      <c r="N124" s="54"/>
      <c r="O124" s="43"/>
    </row>
    <row r="125" spans="1:15" s="38" customFormat="1" ht="108" x14ac:dyDescent="0.2">
      <c r="A125" s="43"/>
      <c r="B125" s="61" t="s">
        <v>30</v>
      </c>
      <c r="C125" s="69">
        <f t="shared" si="100"/>
        <v>2200</v>
      </c>
      <c r="D125" s="69">
        <f t="shared" ref="D125:I125" si="111">SUM(D126:D128)</f>
        <v>200</v>
      </c>
      <c r="E125" s="69">
        <f t="shared" si="111"/>
        <v>0</v>
      </c>
      <c r="F125" s="69">
        <f t="shared" si="111"/>
        <v>0</v>
      </c>
      <c r="G125" s="85">
        <f t="shared" si="111"/>
        <v>2000</v>
      </c>
      <c r="H125" s="85">
        <f t="shared" si="111"/>
        <v>0</v>
      </c>
      <c r="I125" s="77">
        <f t="shared" si="111"/>
        <v>0</v>
      </c>
      <c r="J125" s="77">
        <f t="shared" ref="J125:M125" si="112">SUM(J126:J128)</f>
        <v>0</v>
      </c>
      <c r="K125" s="77">
        <f t="shared" si="112"/>
        <v>0</v>
      </c>
      <c r="L125" s="69">
        <f t="shared" si="112"/>
        <v>0</v>
      </c>
      <c r="M125" s="69">
        <f t="shared" si="112"/>
        <v>0</v>
      </c>
      <c r="N125" s="54" t="s">
        <v>154</v>
      </c>
      <c r="O125" s="43"/>
    </row>
    <row r="126" spans="1:15" s="38" customFormat="1" ht="12" x14ac:dyDescent="0.2">
      <c r="A126" s="43"/>
      <c r="B126" s="61" t="s">
        <v>10</v>
      </c>
      <c r="C126" s="69">
        <f t="shared" si="100"/>
        <v>0</v>
      </c>
      <c r="D126" s="69"/>
      <c r="E126" s="69"/>
      <c r="F126" s="69"/>
      <c r="G126" s="85"/>
      <c r="H126" s="85"/>
      <c r="I126" s="77"/>
      <c r="J126" s="77"/>
      <c r="K126" s="77"/>
      <c r="L126" s="69"/>
      <c r="M126" s="69"/>
      <c r="N126" s="54"/>
      <c r="O126" s="43"/>
    </row>
    <row r="127" spans="1:15" s="38" customFormat="1" ht="12" x14ac:dyDescent="0.2">
      <c r="A127" s="43"/>
      <c r="B127" s="61" t="s">
        <v>11</v>
      </c>
      <c r="C127" s="69">
        <f t="shared" si="100"/>
        <v>2200</v>
      </c>
      <c r="D127" s="69">
        <f>500-300</f>
        <v>200</v>
      </c>
      <c r="E127" s="69"/>
      <c r="F127" s="69"/>
      <c r="G127" s="85">
        <v>2000</v>
      </c>
      <c r="H127" s="85"/>
      <c r="I127" s="77"/>
      <c r="J127" s="77"/>
      <c r="K127" s="77"/>
      <c r="L127" s="69"/>
      <c r="M127" s="69"/>
      <c r="N127" s="54"/>
      <c r="O127" s="43"/>
    </row>
    <row r="128" spans="1:15" s="38" customFormat="1" ht="12" x14ac:dyDescent="0.2">
      <c r="A128" s="43"/>
      <c r="B128" s="61" t="s">
        <v>12</v>
      </c>
      <c r="C128" s="69">
        <f t="shared" si="100"/>
        <v>0</v>
      </c>
      <c r="D128" s="69"/>
      <c r="E128" s="69"/>
      <c r="F128" s="69"/>
      <c r="G128" s="85"/>
      <c r="H128" s="85"/>
      <c r="I128" s="77"/>
      <c r="J128" s="77"/>
      <c r="K128" s="77"/>
      <c r="L128" s="69"/>
      <c r="M128" s="69"/>
      <c r="N128" s="54"/>
      <c r="O128" s="43"/>
    </row>
    <row r="129" spans="1:15" s="38" customFormat="1" ht="108" x14ac:dyDescent="0.2">
      <c r="A129" s="43"/>
      <c r="B129" s="61" t="s">
        <v>31</v>
      </c>
      <c r="C129" s="69">
        <f t="shared" si="100"/>
        <v>8000</v>
      </c>
      <c r="D129" s="69">
        <f t="shared" ref="D129:H129" si="113">SUM(D130:D132)</f>
        <v>0</v>
      </c>
      <c r="E129" s="69">
        <f t="shared" si="113"/>
        <v>0</v>
      </c>
      <c r="F129" s="69">
        <f t="shared" si="113"/>
        <v>0</v>
      </c>
      <c r="G129" s="85">
        <f t="shared" si="113"/>
        <v>0</v>
      </c>
      <c r="H129" s="85">
        <f t="shared" si="113"/>
        <v>2000</v>
      </c>
      <c r="I129" s="77">
        <v>0</v>
      </c>
      <c r="J129" s="77">
        <f t="shared" ref="J129:M129" si="114">SUM(J130:J132)</f>
        <v>1500</v>
      </c>
      <c r="K129" s="77">
        <f t="shared" si="114"/>
        <v>1500</v>
      </c>
      <c r="L129" s="69">
        <f t="shared" si="114"/>
        <v>1500</v>
      </c>
      <c r="M129" s="69">
        <f t="shared" si="114"/>
        <v>1500</v>
      </c>
      <c r="N129" s="54"/>
      <c r="O129" s="43"/>
    </row>
    <row r="130" spans="1:15" s="38" customFormat="1" ht="12" x14ac:dyDescent="0.2">
      <c r="A130" s="43"/>
      <c r="B130" s="61" t="s">
        <v>10</v>
      </c>
      <c r="C130" s="69">
        <f t="shared" si="100"/>
        <v>0</v>
      </c>
      <c r="D130" s="69"/>
      <c r="E130" s="69"/>
      <c r="F130" s="69"/>
      <c r="G130" s="85"/>
      <c r="H130" s="85"/>
      <c r="I130" s="77"/>
      <c r="J130" s="77"/>
      <c r="K130" s="77"/>
      <c r="L130" s="69"/>
      <c r="M130" s="69"/>
      <c r="N130" s="54" t="s">
        <v>162</v>
      </c>
      <c r="O130" s="43"/>
    </row>
    <row r="131" spans="1:15" s="38" customFormat="1" ht="12" x14ac:dyDescent="0.2">
      <c r="A131" s="43"/>
      <c r="B131" s="61" t="s">
        <v>11</v>
      </c>
      <c r="C131" s="69">
        <f t="shared" si="100"/>
        <v>8000</v>
      </c>
      <c r="D131" s="69"/>
      <c r="E131" s="69"/>
      <c r="F131" s="69"/>
      <c r="G131" s="85"/>
      <c r="H131" s="85">
        <v>2000</v>
      </c>
      <c r="I131" s="77">
        <v>0</v>
      </c>
      <c r="J131" s="77">
        <v>1500</v>
      </c>
      <c r="K131" s="77">
        <v>1500</v>
      </c>
      <c r="L131" s="69">
        <v>1500</v>
      </c>
      <c r="M131" s="69">
        <v>1500</v>
      </c>
      <c r="N131" s="54"/>
      <c r="O131" s="43"/>
    </row>
    <row r="132" spans="1:15" s="38" customFormat="1" ht="12" x14ac:dyDescent="0.2">
      <c r="A132" s="43"/>
      <c r="B132" s="61" t="s">
        <v>12</v>
      </c>
      <c r="C132" s="69">
        <f t="shared" si="100"/>
        <v>0</v>
      </c>
      <c r="D132" s="69"/>
      <c r="E132" s="69"/>
      <c r="F132" s="69"/>
      <c r="G132" s="85"/>
      <c r="H132" s="85"/>
      <c r="I132" s="77"/>
      <c r="J132" s="77"/>
      <c r="K132" s="77"/>
      <c r="L132" s="69"/>
      <c r="M132" s="69"/>
      <c r="N132" s="54"/>
      <c r="O132" s="43"/>
    </row>
    <row r="133" spans="1:15" s="38" customFormat="1" ht="96" x14ac:dyDescent="0.2">
      <c r="A133" s="43"/>
      <c r="B133" s="61" t="s">
        <v>32</v>
      </c>
      <c r="C133" s="69">
        <f t="shared" si="100"/>
        <v>4000</v>
      </c>
      <c r="D133" s="69">
        <f t="shared" ref="D133:I133" si="115">SUM(D134:D136)</f>
        <v>0</v>
      </c>
      <c r="E133" s="69">
        <f t="shared" si="115"/>
        <v>0</v>
      </c>
      <c r="F133" s="69">
        <v>4000</v>
      </c>
      <c r="G133" s="85">
        <f t="shared" si="115"/>
        <v>0</v>
      </c>
      <c r="H133" s="85">
        <f t="shared" si="115"/>
        <v>0</v>
      </c>
      <c r="I133" s="77">
        <f t="shared" si="115"/>
        <v>0</v>
      </c>
      <c r="J133" s="77">
        <f t="shared" ref="J133:M133" si="116">SUM(J134:J136)</f>
        <v>0</v>
      </c>
      <c r="K133" s="77">
        <f t="shared" si="116"/>
        <v>0</v>
      </c>
      <c r="L133" s="69">
        <f t="shared" si="116"/>
        <v>0</v>
      </c>
      <c r="M133" s="69">
        <f t="shared" si="116"/>
        <v>0</v>
      </c>
      <c r="N133" s="54"/>
      <c r="O133" s="43"/>
    </row>
    <row r="134" spans="1:15" s="38" customFormat="1" ht="12" x14ac:dyDescent="0.2">
      <c r="A134" s="43"/>
      <c r="B134" s="61" t="s">
        <v>10</v>
      </c>
      <c r="C134" s="69">
        <f t="shared" si="100"/>
        <v>0</v>
      </c>
      <c r="D134" s="69"/>
      <c r="E134" s="69"/>
      <c r="F134" s="69"/>
      <c r="G134" s="85"/>
      <c r="H134" s="85"/>
      <c r="I134" s="77"/>
      <c r="J134" s="77"/>
      <c r="K134" s="77"/>
      <c r="L134" s="69"/>
      <c r="M134" s="69"/>
      <c r="N134" s="54"/>
      <c r="O134" s="43"/>
    </row>
    <row r="135" spans="1:15" s="38" customFormat="1" ht="12" x14ac:dyDescent="0.2">
      <c r="A135" s="43"/>
      <c r="B135" s="61" t="s">
        <v>11</v>
      </c>
      <c r="C135" s="69">
        <f t="shared" si="100"/>
        <v>0</v>
      </c>
      <c r="D135" s="69"/>
      <c r="E135" s="69"/>
      <c r="F135" s="69"/>
      <c r="G135" s="85"/>
      <c r="H135" s="85"/>
      <c r="I135" s="77"/>
      <c r="J135" s="77"/>
      <c r="K135" s="77"/>
      <c r="L135" s="69"/>
      <c r="M135" s="69"/>
      <c r="N135" s="54" t="s">
        <v>154</v>
      </c>
      <c r="O135" s="43"/>
    </row>
    <row r="136" spans="1:15" s="38" customFormat="1" ht="12" x14ac:dyDescent="0.2">
      <c r="A136" s="43"/>
      <c r="B136" s="61" t="s">
        <v>12</v>
      </c>
      <c r="C136" s="69">
        <f t="shared" si="100"/>
        <v>0</v>
      </c>
      <c r="D136" s="69"/>
      <c r="E136" s="69"/>
      <c r="F136" s="69"/>
      <c r="G136" s="85"/>
      <c r="H136" s="85"/>
      <c r="I136" s="77"/>
      <c r="J136" s="77"/>
      <c r="K136" s="77"/>
      <c r="L136" s="69"/>
      <c r="M136" s="69"/>
      <c r="N136" s="54"/>
      <c r="O136" s="43"/>
    </row>
    <row r="137" spans="1:15" s="38" customFormat="1" ht="84" x14ac:dyDescent="0.2">
      <c r="A137" s="43"/>
      <c r="B137" s="61" t="s">
        <v>33</v>
      </c>
      <c r="C137" s="69">
        <f t="shared" ref="C137" si="117">SUM(D137:M137)</f>
        <v>18000</v>
      </c>
      <c r="D137" s="69">
        <f t="shared" ref="D137:I137" si="118">SUM(D138:D140)</f>
        <v>0</v>
      </c>
      <c r="E137" s="69">
        <f t="shared" si="118"/>
        <v>0</v>
      </c>
      <c r="F137" s="69">
        <f t="shared" si="118"/>
        <v>0</v>
      </c>
      <c r="G137" s="85">
        <f t="shared" si="118"/>
        <v>0</v>
      </c>
      <c r="H137" s="85">
        <f t="shared" si="118"/>
        <v>2000</v>
      </c>
      <c r="I137" s="77">
        <f t="shared" si="118"/>
        <v>0</v>
      </c>
      <c r="J137" s="77">
        <f t="shared" ref="J137:M137" si="119">SUM(J138:J140)</f>
        <v>4000</v>
      </c>
      <c r="K137" s="77">
        <f t="shared" si="119"/>
        <v>4000</v>
      </c>
      <c r="L137" s="69">
        <f t="shared" si="119"/>
        <v>4000</v>
      </c>
      <c r="M137" s="69">
        <f t="shared" si="119"/>
        <v>4000</v>
      </c>
      <c r="N137" s="54"/>
      <c r="O137" s="43"/>
    </row>
    <row r="138" spans="1:15" s="38" customFormat="1" ht="12" x14ac:dyDescent="0.2">
      <c r="A138" s="43"/>
      <c r="B138" s="61" t="s">
        <v>10</v>
      </c>
      <c r="C138" s="69">
        <f>SUM(D138:N138)</f>
        <v>0</v>
      </c>
      <c r="D138" s="69"/>
      <c r="E138" s="69"/>
      <c r="F138" s="69"/>
      <c r="G138" s="85"/>
      <c r="H138" s="85"/>
      <c r="I138" s="77"/>
      <c r="J138" s="77"/>
      <c r="K138" s="77"/>
      <c r="L138" s="69"/>
      <c r="M138" s="69"/>
      <c r="N138" s="54"/>
      <c r="O138" s="43"/>
    </row>
    <row r="139" spans="1:15" s="38" customFormat="1" ht="12" x14ac:dyDescent="0.2">
      <c r="A139" s="43"/>
      <c r="B139" s="61" t="s">
        <v>11</v>
      </c>
      <c r="C139" s="69">
        <f t="shared" ref="C139:C170" si="120">SUM(D139:M139)</f>
        <v>18000</v>
      </c>
      <c r="D139" s="69"/>
      <c r="E139" s="69"/>
      <c r="F139" s="69"/>
      <c r="G139" s="85"/>
      <c r="H139" s="85">
        <v>2000</v>
      </c>
      <c r="I139" s="77">
        <v>0</v>
      </c>
      <c r="J139" s="77">
        <v>4000</v>
      </c>
      <c r="K139" s="77">
        <v>4000</v>
      </c>
      <c r="L139" s="69">
        <v>4000</v>
      </c>
      <c r="M139" s="69">
        <v>4000</v>
      </c>
      <c r="N139" s="54"/>
      <c r="O139" s="43"/>
    </row>
    <row r="140" spans="1:15" s="38" customFormat="1" ht="24" x14ac:dyDescent="0.2">
      <c r="A140" s="43"/>
      <c r="B140" s="61" t="s">
        <v>12</v>
      </c>
      <c r="C140" s="69">
        <f t="shared" si="120"/>
        <v>0</v>
      </c>
      <c r="D140" s="69"/>
      <c r="E140" s="69"/>
      <c r="F140" s="69"/>
      <c r="G140" s="85"/>
      <c r="H140" s="85"/>
      <c r="I140" s="77"/>
      <c r="J140" s="77"/>
      <c r="K140" s="77"/>
      <c r="L140" s="69"/>
      <c r="M140" s="69"/>
      <c r="N140" s="54" t="s">
        <v>163</v>
      </c>
      <c r="O140" s="43"/>
    </row>
    <row r="141" spans="1:15" s="38" customFormat="1" ht="108" x14ac:dyDescent="0.2">
      <c r="A141" s="43"/>
      <c r="B141" s="61" t="s">
        <v>84</v>
      </c>
      <c r="C141" s="69">
        <f t="shared" si="120"/>
        <v>5500</v>
      </c>
      <c r="D141" s="78">
        <f t="shared" ref="D141:I141" si="121">SUM(D143:D145)</f>
        <v>1000</v>
      </c>
      <c r="E141" s="78">
        <f t="shared" si="121"/>
        <v>500</v>
      </c>
      <c r="F141" s="78">
        <f t="shared" si="121"/>
        <v>0</v>
      </c>
      <c r="G141" s="124">
        <f t="shared" si="121"/>
        <v>2000</v>
      </c>
      <c r="H141" s="124">
        <f t="shared" si="121"/>
        <v>2000</v>
      </c>
      <c r="I141" s="158">
        <f t="shared" si="121"/>
        <v>0</v>
      </c>
      <c r="J141" s="158">
        <f t="shared" ref="J141:M141" si="122">SUM(J143:J145)</f>
        <v>0</v>
      </c>
      <c r="K141" s="158">
        <f t="shared" si="122"/>
        <v>0</v>
      </c>
      <c r="L141" s="78">
        <f t="shared" si="122"/>
        <v>0</v>
      </c>
      <c r="M141" s="78">
        <f t="shared" si="122"/>
        <v>0</v>
      </c>
      <c r="N141" s="54"/>
      <c r="O141" s="43"/>
    </row>
    <row r="142" spans="1:15" s="38" customFormat="1" ht="12" x14ac:dyDescent="0.2">
      <c r="A142" s="43"/>
      <c r="B142" s="61" t="s">
        <v>59</v>
      </c>
      <c r="C142" s="69">
        <f t="shared" si="120"/>
        <v>0</v>
      </c>
      <c r="D142" s="69">
        <v>0</v>
      </c>
      <c r="E142" s="69">
        <v>0</v>
      </c>
      <c r="F142" s="69">
        <v>0</v>
      </c>
      <c r="G142" s="85">
        <v>0</v>
      </c>
      <c r="H142" s="85">
        <v>0</v>
      </c>
      <c r="I142" s="77">
        <v>0</v>
      </c>
      <c r="J142" s="77">
        <v>0</v>
      </c>
      <c r="K142" s="77">
        <v>0</v>
      </c>
      <c r="L142" s="69">
        <v>0</v>
      </c>
      <c r="M142" s="69">
        <v>0</v>
      </c>
      <c r="N142" s="54"/>
      <c r="O142" s="43"/>
    </row>
    <row r="143" spans="1:15" s="38" customFormat="1" ht="12" x14ac:dyDescent="0.2">
      <c r="A143" s="43"/>
      <c r="B143" s="61" t="s">
        <v>10</v>
      </c>
      <c r="C143" s="69">
        <f t="shared" si="120"/>
        <v>0</v>
      </c>
      <c r="D143" s="69"/>
      <c r="E143" s="69"/>
      <c r="F143" s="69"/>
      <c r="G143" s="85"/>
      <c r="H143" s="85"/>
      <c r="I143" s="77"/>
      <c r="J143" s="77"/>
      <c r="K143" s="77"/>
      <c r="L143" s="69"/>
      <c r="M143" s="69"/>
      <c r="N143" s="54"/>
      <c r="O143" s="43"/>
    </row>
    <row r="144" spans="1:15" s="38" customFormat="1" ht="12" x14ac:dyDescent="0.2">
      <c r="A144" s="43"/>
      <c r="B144" s="61" t="s">
        <v>11</v>
      </c>
      <c r="C144" s="69">
        <f t="shared" si="120"/>
        <v>5500</v>
      </c>
      <c r="D144" s="69">
        <f>1500-500</f>
        <v>1000</v>
      </c>
      <c r="E144" s="69">
        <v>500</v>
      </c>
      <c r="F144" s="69"/>
      <c r="G144" s="85">
        <v>2000</v>
      </c>
      <c r="H144" s="85">
        <v>2000</v>
      </c>
      <c r="I144" s="77"/>
      <c r="J144" s="77"/>
      <c r="K144" s="77"/>
      <c r="L144" s="69"/>
      <c r="M144" s="69"/>
      <c r="N144" s="54"/>
      <c r="O144" s="43"/>
    </row>
    <row r="145" spans="1:15" s="38" customFormat="1" ht="12" x14ac:dyDescent="0.2">
      <c r="A145" s="43"/>
      <c r="B145" s="61" t="s">
        <v>12</v>
      </c>
      <c r="C145" s="69">
        <f t="shared" si="120"/>
        <v>0</v>
      </c>
      <c r="D145" s="69"/>
      <c r="E145" s="69"/>
      <c r="F145" s="69"/>
      <c r="G145" s="85"/>
      <c r="H145" s="85"/>
      <c r="I145" s="77"/>
      <c r="J145" s="77"/>
      <c r="K145" s="77"/>
      <c r="L145" s="69"/>
      <c r="M145" s="69"/>
      <c r="N145" s="54" t="s">
        <v>154</v>
      </c>
      <c r="O145" s="43"/>
    </row>
    <row r="146" spans="1:15" s="38" customFormat="1" ht="72" x14ac:dyDescent="0.2">
      <c r="A146" s="43">
        <v>96</v>
      </c>
      <c r="B146" s="65" t="s">
        <v>117</v>
      </c>
      <c r="C146" s="69">
        <f t="shared" si="120"/>
        <v>4107488.38</v>
      </c>
      <c r="D146" s="73">
        <f>SUM(D147:D150)</f>
        <v>3528646.19</v>
      </c>
      <c r="E146" s="73">
        <f t="shared" ref="E146:I146" si="123">SUM(E147:E150)</f>
        <v>103.19</v>
      </c>
      <c r="F146" s="73">
        <f t="shared" si="123"/>
        <v>578739</v>
      </c>
      <c r="G146" s="122">
        <f t="shared" si="123"/>
        <v>0</v>
      </c>
      <c r="H146" s="122">
        <f t="shared" si="123"/>
        <v>0</v>
      </c>
      <c r="I146" s="156">
        <f t="shared" si="123"/>
        <v>0</v>
      </c>
      <c r="J146" s="156">
        <f t="shared" ref="J146:M146" si="124">SUM(J147:J150)</f>
        <v>0</v>
      </c>
      <c r="K146" s="156">
        <f t="shared" si="124"/>
        <v>0</v>
      </c>
      <c r="L146" s="73">
        <f t="shared" si="124"/>
        <v>0</v>
      </c>
      <c r="M146" s="73">
        <f t="shared" si="124"/>
        <v>0</v>
      </c>
      <c r="N146" s="54" t="s">
        <v>164</v>
      </c>
      <c r="O146" s="43" t="s">
        <v>165</v>
      </c>
    </row>
    <row r="147" spans="1:15" s="38" customFormat="1" ht="12" x14ac:dyDescent="0.2">
      <c r="A147" s="43">
        <v>97</v>
      </c>
      <c r="B147" s="61" t="s">
        <v>59</v>
      </c>
      <c r="C147" s="69">
        <f t="shared" si="120"/>
        <v>0</v>
      </c>
      <c r="D147" s="69">
        <v>0</v>
      </c>
      <c r="E147" s="69">
        <v>0</v>
      </c>
      <c r="F147" s="69">
        <v>0</v>
      </c>
      <c r="G147" s="85">
        <v>0</v>
      </c>
      <c r="H147" s="85">
        <v>0</v>
      </c>
      <c r="I147" s="77">
        <v>0</v>
      </c>
      <c r="J147" s="77">
        <v>0</v>
      </c>
      <c r="K147" s="77">
        <v>0</v>
      </c>
      <c r="L147" s="69">
        <v>0</v>
      </c>
      <c r="M147" s="69">
        <v>0</v>
      </c>
      <c r="N147" s="74"/>
      <c r="O147" s="43"/>
    </row>
    <row r="148" spans="1:15" s="38" customFormat="1" ht="12" x14ac:dyDescent="0.2">
      <c r="A148" s="43">
        <v>98</v>
      </c>
      <c r="B148" s="61" t="s">
        <v>10</v>
      </c>
      <c r="C148" s="69">
        <f t="shared" si="120"/>
        <v>0</v>
      </c>
      <c r="D148" s="69">
        <v>0</v>
      </c>
      <c r="E148" s="69">
        <v>0</v>
      </c>
      <c r="F148" s="69">
        <v>0</v>
      </c>
      <c r="G148" s="85">
        <v>0</v>
      </c>
      <c r="H148" s="85">
        <v>0</v>
      </c>
      <c r="I148" s="77">
        <v>0</v>
      </c>
      <c r="J148" s="77">
        <v>0</v>
      </c>
      <c r="K148" s="77">
        <v>0</v>
      </c>
      <c r="L148" s="69">
        <v>0</v>
      </c>
      <c r="M148" s="69">
        <v>0</v>
      </c>
      <c r="N148" s="54"/>
      <c r="O148" s="43"/>
    </row>
    <row r="149" spans="1:15" s="38" customFormat="1" ht="12" x14ac:dyDescent="0.2">
      <c r="A149" s="43">
        <v>99</v>
      </c>
      <c r="B149" s="61" t="s">
        <v>11</v>
      </c>
      <c r="C149" s="69">
        <f t="shared" si="120"/>
        <v>4107488.38</v>
      </c>
      <c r="D149" s="69">
        <v>3528646.19</v>
      </c>
      <c r="E149" s="69">
        <v>103.19</v>
      </c>
      <c r="F149" s="69">
        <f>578739</f>
        <v>578739</v>
      </c>
      <c r="G149" s="85">
        <v>0</v>
      </c>
      <c r="H149" s="85">
        <v>0</v>
      </c>
      <c r="I149" s="77">
        <v>0</v>
      </c>
      <c r="J149" s="77">
        <v>0</v>
      </c>
      <c r="K149" s="77">
        <v>0</v>
      </c>
      <c r="L149" s="69">
        <v>0</v>
      </c>
      <c r="M149" s="69">
        <v>0</v>
      </c>
      <c r="N149" s="54"/>
      <c r="O149" s="43"/>
    </row>
    <row r="150" spans="1:15" s="38" customFormat="1" ht="12" x14ac:dyDescent="0.2">
      <c r="A150" s="43">
        <v>100</v>
      </c>
      <c r="B150" s="61" t="s">
        <v>12</v>
      </c>
      <c r="C150" s="69">
        <f t="shared" si="120"/>
        <v>0</v>
      </c>
      <c r="D150" s="69"/>
      <c r="E150" s="69"/>
      <c r="F150" s="69"/>
      <c r="G150" s="85"/>
      <c r="H150" s="85"/>
      <c r="I150" s="77"/>
      <c r="J150" s="77"/>
      <c r="K150" s="77"/>
      <c r="L150" s="69"/>
      <c r="M150" s="69"/>
      <c r="O150" s="43"/>
    </row>
    <row r="151" spans="1:15" s="38" customFormat="1" ht="156" x14ac:dyDescent="0.2">
      <c r="A151" s="43">
        <v>101</v>
      </c>
      <c r="B151" s="65" t="s">
        <v>85</v>
      </c>
      <c r="C151" s="132">
        <f t="shared" si="120"/>
        <v>2431940.65</v>
      </c>
      <c r="D151" s="73">
        <f>SUM(D152:D155)</f>
        <v>181700</v>
      </c>
      <c r="E151" s="73">
        <f t="shared" ref="E151:I151" si="125">SUM(E152:E155)</f>
        <v>50000</v>
      </c>
      <c r="F151" s="73">
        <f t="shared" si="125"/>
        <v>80240.649999999994</v>
      </c>
      <c r="G151" s="122">
        <f t="shared" si="125"/>
        <v>200000</v>
      </c>
      <c r="H151" s="122">
        <f t="shared" si="125"/>
        <v>200000</v>
      </c>
      <c r="I151" s="156">
        <f t="shared" si="125"/>
        <v>620000</v>
      </c>
      <c r="J151" s="156">
        <f t="shared" ref="J151:M151" si="126">SUM(J152:J155)</f>
        <v>500000</v>
      </c>
      <c r="K151" s="156">
        <f t="shared" si="126"/>
        <v>500000</v>
      </c>
      <c r="L151" s="73">
        <f t="shared" si="126"/>
        <v>50000</v>
      </c>
      <c r="M151" s="73">
        <f t="shared" si="126"/>
        <v>50000</v>
      </c>
      <c r="N151" s="54" t="s">
        <v>159</v>
      </c>
      <c r="O151" s="43" t="s">
        <v>149</v>
      </c>
    </row>
    <row r="152" spans="1:15" s="38" customFormat="1" ht="12" x14ac:dyDescent="0.2">
      <c r="A152" s="43">
        <v>102</v>
      </c>
      <c r="B152" s="61" t="s">
        <v>59</v>
      </c>
      <c r="C152" s="69">
        <f t="shared" si="120"/>
        <v>14600</v>
      </c>
      <c r="D152" s="69">
        <v>14600</v>
      </c>
      <c r="E152" s="69">
        <v>0</v>
      </c>
      <c r="F152" s="69">
        <v>0</v>
      </c>
      <c r="G152" s="85">
        <v>0</v>
      </c>
      <c r="H152" s="85">
        <v>0</v>
      </c>
      <c r="I152" s="77">
        <v>0</v>
      </c>
      <c r="J152" s="77">
        <v>0</v>
      </c>
      <c r="K152" s="77">
        <v>0</v>
      </c>
      <c r="L152" s="69">
        <v>0</v>
      </c>
      <c r="M152" s="69">
        <v>0</v>
      </c>
      <c r="N152" s="54"/>
      <c r="O152" s="43"/>
    </row>
    <row r="153" spans="1:15" s="38" customFormat="1" ht="12" x14ac:dyDescent="0.2">
      <c r="A153" s="43">
        <v>103</v>
      </c>
      <c r="B153" s="61" t="s">
        <v>10</v>
      </c>
      <c r="C153" s="69">
        <f t="shared" si="120"/>
        <v>120000</v>
      </c>
      <c r="D153" s="69">
        <v>0</v>
      </c>
      <c r="E153" s="69">
        <v>0</v>
      </c>
      <c r="F153" s="69">
        <v>0</v>
      </c>
      <c r="G153" s="85">
        <v>0</v>
      </c>
      <c r="H153" s="85">
        <v>0</v>
      </c>
      <c r="I153" s="77">
        <v>120000</v>
      </c>
      <c r="J153" s="77">
        <v>0</v>
      </c>
      <c r="K153" s="77">
        <v>0</v>
      </c>
      <c r="L153" s="69">
        <v>0</v>
      </c>
      <c r="M153" s="69">
        <v>0</v>
      </c>
      <c r="N153" s="54"/>
      <c r="O153" s="43"/>
    </row>
    <row r="154" spans="1:15" s="38" customFormat="1" ht="12" x14ac:dyDescent="0.2">
      <c r="A154" s="43">
        <v>104</v>
      </c>
      <c r="B154" s="61" t="s">
        <v>11</v>
      </c>
      <c r="C154" s="69">
        <f t="shared" si="120"/>
        <v>2297340.65</v>
      </c>
      <c r="D154" s="69">
        <f>400000-100000-D159</f>
        <v>167100</v>
      </c>
      <c r="E154" s="69">
        <f>150000-100000</f>
        <v>50000</v>
      </c>
      <c r="F154" s="69">
        <f>150000+50000-89756.3-30003.05</f>
        <v>80240.649999999994</v>
      </c>
      <c r="G154" s="85">
        <f>1000000-950000+150000</f>
        <v>200000</v>
      </c>
      <c r="H154" s="85">
        <f>1000000-950000+150000</f>
        <v>200000</v>
      </c>
      <c r="I154" s="77">
        <v>500000</v>
      </c>
      <c r="J154" s="77">
        <v>500000</v>
      </c>
      <c r="K154" s="77">
        <v>500000</v>
      </c>
      <c r="L154" s="69">
        <f t="shared" ref="L154:M154" si="127">1000000-950000</f>
        <v>50000</v>
      </c>
      <c r="M154" s="69">
        <f t="shared" si="127"/>
        <v>50000</v>
      </c>
      <c r="N154" s="54"/>
      <c r="O154" s="43"/>
    </row>
    <row r="155" spans="1:15" s="38" customFormat="1" ht="12" x14ac:dyDescent="0.2">
      <c r="A155" s="43">
        <v>105</v>
      </c>
      <c r="B155" s="61" t="s">
        <v>12</v>
      </c>
      <c r="C155" s="69">
        <f t="shared" si="120"/>
        <v>0</v>
      </c>
      <c r="D155" s="69">
        <v>0</v>
      </c>
      <c r="E155" s="69">
        <v>0</v>
      </c>
      <c r="F155" s="69">
        <v>0</v>
      </c>
      <c r="G155" s="85">
        <v>0</v>
      </c>
      <c r="H155" s="85">
        <v>0</v>
      </c>
      <c r="I155" s="77">
        <v>0</v>
      </c>
      <c r="J155" s="77">
        <v>0</v>
      </c>
      <c r="K155" s="77">
        <v>0</v>
      </c>
      <c r="L155" s="69">
        <v>0</v>
      </c>
      <c r="M155" s="69">
        <v>0</v>
      </c>
      <c r="N155" s="54"/>
      <c r="O155" s="43"/>
    </row>
    <row r="156" spans="1:15" s="38" customFormat="1" ht="60" x14ac:dyDescent="0.2">
      <c r="A156" s="43">
        <v>106</v>
      </c>
      <c r="B156" s="65" t="s">
        <v>110</v>
      </c>
      <c r="C156" s="132">
        <f t="shared" si="120"/>
        <v>443000</v>
      </c>
      <c r="D156" s="73">
        <f>SUM(D157:D160)</f>
        <v>443000</v>
      </c>
      <c r="E156" s="73">
        <f t="shared" ref="E156:I156" si="128">SUM(E157:E160)</f>
        <v>0</v>
      </c>
      <c r="F156" s="73">
        <f t="shared" si="128"/>
        <v>0</v>
      </c>
      <c r="G156" s="122">
        <f t="shared" si="128"/>
        <v>0</v>
      </c>
      <c r="H156" s="122">
        <f t="shared" si="128"/>
        <v>0</v>
      </c>
      <c r="I156" s="156">
        <f t="shared" si="128"/>
        <v>0</v>
      </c>
      <c r="J156" s="156">
        <f t="shared" ref="J156:M156" si="129">SUM(J157:J160)</f>
        <v>0</v>
      </c>
      <c r="K156" s="156">
        <f t="shared" si="129"/>
        <v>0</v>
      </c>
      <c r="L156" s="73">
        <f t="shared" si="129"/>
        <v>0</v>
      </c>
      <c r="M156" s="73">
        <f t="shared" si="129"/>
        <v>0</v>
      </c>
      <c r="N156" s="54" t="s">
        <v>160</v>
      </c>
      <c r="O156" s="43" t="s">
        <v>149</v>
      </c>
    </row>
    <row r="157" spans="1:15" s="38" customFormat="1" ht="12" x14ac:dyDescent="0.2">
      <c r="A157" s="43">
        <v>107</v>
      </c>
      <c r="B157" s="61" t="s">
        <v>59</v>
      </c>
      <c r="C157" s="69">
        <f t="shared" si="120"/>
        <v>0</v>
      </c>
      <c r="D157" s="69">
        <v>0</v>
      </c>
      <c r="E157" s="69">
        <v>0</v>
      </c>
      <c r="F157" s="69">
        <v>0</v>
      </c>
      <c r="G157" s="85">
        <v>0</v>
      </c>
      <c r="H157" s="85">
        <v>0</v>
      </c>
      <c r="I157" s="77">
        <v>0</v>
      </c>
      <c r="J157" s="77">
        <v>0</v>
      </c>
      <c r="K157" s="77">
        <v>0</v>
      </c>
      <c r="L157" s="69">
        <v>0</v>
      </c>
      <c r="M157" s="69">
        <v>0</v>
      </c>
      <c r="N157" s="54"/>
      <c r="O157" s="43"/>
    </row>
    <row r="158" spans="1:15" s="38" customFormat="1" ht="12" x14ac:dyDescent="0.2">
      <c r="A158" s="43">
        <v>108</v>
      </c>
      <c r="B158" s="61" t="s">
        <v>10</v>
      </c>
      <c r="C158" s="69">
        <f t="shared" si="120"/>
        <v>310100</v>
      </c>
      <c r="D158" s="69">
        <v>310100</v>
      </c>
      <c r="E158" s="69">
        <v>0</v>
      </c>
      <c r="F158" s="69">
        <v>0</v>
      </c>
      <c r="G158" s="85">
        <v>0</v>
      </c>
      <c r="H158" s="85">
        <v>0</v>
      </c>
      <c r="I158" s="77">
        <v>0</v>
      </c>
      <c r="J158" s="77">
        <v>0</v>
      </c>
      <c r="K158" s="77">
        <v>0</v>
      </c>
      <c r="L158" s="69">
        <v>0</v>
      </c>
      <c r="M158" s="69">
        <v>0</v>
      </c>
      <c r="N158" s="54"/>
      <c r="O158" s="43"/>
    </row>
    <row r="159" spans="1:15" s="38" customFormat="1" ht="12" x14ac:dyDescent="0.2">
      <c r="A159" s="43">
        <v>109</v>
      </c>
      <c r="B159" s="61" t="s">
        <v>11</v>
      </c>
      <c r="C159" s="69">
        <f t="shared" si="120"/>
        <v>132900</v>
      </c>
      <c r="D159" s="69">
        <v>132900</v>
      </c>
      <c r="E159" s="69">
        <v>0</v>
      </c>
      <c r="F159" s="69">
        <v>0</v>
      </c>
      <c r="G159" s="85">
        <v>0</v>
      </c>
      <c r="H159" s="85">
        <v>0</v>
      </c>
      <c r="I159" s="77">
        <v>0</v>
      </c>
      <c r="J159" s="77">
        <v>0</v>
      </c>
      <c r="K159" s="77">
        <v>0</v>
      </c>
      <c r="L159" s="69">
        <v>0</v>
      </c>
      <c r="M159" s="69">
        <v>0</v>
      </c>
      <c r="N159" s="54"/>
      <c r="O159" s="43"/>
    </row>
    <row r="160" spans="1:15" s="38" customFormat="1" ht="12" x14ac:dyDescent="0.2">
      <c r="A160" s="43">
        <v>110</v>
      </c>
      <c r="B160" s="61" t="s">
        <v>12</v>
      </c>
      <c r="C160" s="69">
        <f t="shared" si="120"/>
        <v>0</v>
      </c>
      <c r="D160" s="69"/>
      <c r="E160" s="69"/>
      <c r="F160" s="69"/>
      <c r="G160" s="85"/>
      <c r="H160" s="85"/>
      <c r="I160" s="77"/>
      <c r="J160" s="77"/>
      <c r="K160" s="77"/>
      <c r="L160" s="69"/>
      <c r="M160" s="69"/>
      <c r="N160" s="54"/>
      <c r="O160" s="43"/>
    </row>
    <row r="161" spans="1:15" s="38" customFormat="1" ht="60" x14ac:dyDescent="0.2">
      <c r="A161" s="43">
        <v>111</v>
      </c>
      <c r="B161" s="65" t="s">
        <v>106</v>
      </c>
      <c r="C161" s="132">
        <f t="shared" si="120"/>
        <v>58198358.200000003</v>
      </c>
      <c r="D161" s="73">
        <f>SUM(D162:D165)</f>
        <v>4969370.8099999996</v>
      </c>
      <c r="E161" s="73">
        <f t="shared" ref="E161:I161" si="130">SUM(E162:E165)</f>
        <v>4988404.95</v>
      </c>
      <c r="F161" s="73">
        <f t="shared" si="130"/>
        <v>5475040.04</v>
      </c>
      <c r="G161" s="122">
        <f t="shared" si="130"/>
        <v>7149538.7400000002</v>
      </c>
      <c r="H161" s="122">
        <f t="shared" si="130"/>
        <v>7617202.5699999994</v>
      </c>
      <c r="I161" s="156">
        <f t="shared" si="130"/>
        <v>5697019.0899999999</v>
      </c>
      <c r="J161" s="156">
        <f t="shared" ref="J161:M161" si="131">SUM(J162:J165)</f>
        <v>5904278</v>
      </c>
      <c r="K161" s="156">
        <f t="shared" si="131"/>
        <v>6273398</v>
      </c>
      <c r="L161" s="73">
        <f t="shared" si="131"/>
        <v>5062053</v>
      </c>
      <c r="M161" s="73">
        <f t="shared" si="131"/>
        <v>5062053</v>
      </c>
      <c r="N161" s="54" t="s">
        <v>161</v>
      </c>
      <c r="O161" s="43" t="s">
        <v>149</v>
      </c>
    </row>
    <row r="162" spans="1:15" s="38" customFormat="1" ht="12" x14ac:dyDescent="0.2">
      <c r="A162" s="43">
        <v>112</v>
      </c>
      <c r="B162" s="61" t="s">
        <v>59</v>
      </c>
      <c r="C162" s="69">
        <f t="shared" si="120"/>
        <v>0</v>
      </c>
      <c r="D162" s="69">
        <v>0</v>
      </c>
      <c r="E162" s="69">
        <v>0</v>
      </c>
      <c r="F162" s="69">
        <v>0</v>
      </c>
      <c r="G162" s="85">
        <v>0</v>
      </c>
      <c r="H162" s="85">
        <v>0</v>
      </c>
      <c r="I162" s="77">
        <v>0</v>
      </c>
      <c r="J162" s="77">
        <v>0</v>
      </c>
      <c r="K162" s="77">
        <v>0</v>
      </c>
      <c r="L162" s="69">
        <v>0</v>
      </c>
      <c r="M162" s="69">
        <v>0</v>
      </c>
      <c r="N162" s="54"/>
      <c r="O162" s="43"/>
    </row>
    <row r="163" spans="1:15" s="38" customFormat="1" ht="12" x14ac:dyDescent="0.2">
      <c r="A163" s="43">
        <v>113</v>
      </c>
      <c r="B163" s="61" t="s">
        <v>10</v>
      </c>
      <c r="C163" s="69">
        <f t="shared" si="120"/>
        <v>363426</v>
      </c>
      <c r="D163" s="69">
        <v>0</v>
      </c>
      <c r="E163" s="69">
        <v>0</v>
      </c>
      <c r="F163" s="69">
        <v>0</v>
      </c>
      <c r="G163" s="85">
        <v>363426</v>
      </c>
      <c r="H163" s="85">
        <v>0</v>
      </c>
      <c r="I163" s="77">
        <v>0</v>
      </c>
      <c r="J163" s="77">
        <v>0</v>
      </c>
      <c r="K163" s="77">
        <v>0</v>
      </c>
      <c r="L163" s="69">
        <v>0</v>
      </c>
      <c r="M163" s="69">
        <v>0</v>
      </c>
      <c r="N163" s="54"/>
      <c r="O163" s="43"/>
    </row>
    <row r="164" spans="1:15" s="38" customFormat="1" ht="12" x14ac:dyDescent="0.2">
      <c r="A164" s="43">
        <v>114</v>
      </c>
      <c r="B164" s="61" t="s">
        <v>11</v>
      </c>
      <c r="C164" s="69">
        <f t="shared" si="120"/>
        <v>56594867.769999996</v>
      </c>
      <c r="D164" s="69">
        <f>4161903+D169+500000</f>
        <v>4844370.8099999996</v>
      </c>
      <c r="E164" s="69">
        <f>4236377-5237+456028+12000+E169</f>
        <v>4836004.95</v>
      </c>
      <c r="F164" s="69">
        <f>4236378+781468+83511.96+243982.08</f>
        <v>5345340.04</v>
      </c>
      <c r="G164" s="85">
        <f>5842339-1070260-2319997+410883.86+2099831.14+1588395.74</f>
        <v>6551192.7400000002</v>
      </c>
      <c r="H164" s="85">
        <f>5842339-1070260-2967327+3158045-589252.62+3020527.82</f>
        <v>7394072.1999999993</v>
      </c>
      <c r="I164" s="77">
        <v>5486765.0300000003</v>
      </c>
      <c r="J164" s="77">
        <v>5821948</v>
      </c>
      <c r="K164" s="77">
        <v>6191068</v>
      </c>
      <c r="L164" s="69">
        <f>5842339-780286</f>
        <v>5062053</v>
      </c>
      <c r="M164" s="69">
        <f>5842339-780286</f>
        <v>5062053</v>
      </c>
      <c r="N164" s="54"/>
      <c r="O164" s="43"/>
    </row>
    <row r="165" spans="1:15" s="38" customFormat="1" ht="12" x14ac:dyDescent="0.2">
      <c r="A165" s="43">
        <v>115</v>
      </c>
      <c r="B165" s="61" t="s">
        <v>12</v>
      </c>
      <c r="C165" s="69">
        <f t="shared" si="120"/>
        <v>1240064.43</v>
      </c>
      <c r="D165" s="69">
        <f>125000</f>
        <v>125000</v>
      </c>
      <c r="E165" s="69">
        <f>140000-40000+45200+7200</f>
        <v>152400</v>
      </c>
      <c r="F165" s="69">
        <f>160000-30300</f>
        <v>129700</v>
      </c>
      <c r="G165" s="85">
        <f>160000-30300+220+105000</f>
        <v>234920</v>
      </c>
      <c r="H165" s="85">
        <f>160000-30300+220+93210.37</f>
        <v>223130.37</v>
      </c>
      <c r="I165" s="77">
        <v>210254.06</v>
      </c>
      <c r="J165" s="77">
        <v>82330</v>
      </c>
      <c r="K165" s="77">
        <v>82330</v>
      </c>
      <c r="L165" s="69">
        <v>0</v>
      </c>
      <c r="M165" s="69">
        <v>0</v>
      </c>
      <c r="N165" s="54"/>
      <c r="O165" s="43"/>
    </row>
    <row r="166" spans="1:15" s="38" customFormat="1" ht="72" x14ac:dyDescent="0.2">
      <c r="A166" s="43">
        <v>116</v>
      </c>
      <c r="B166" s="65" t="s">
        <v>118</v>
      </c>
      <c r="C166" s="69">
        <f t="shared" si="120"/>
        <v>1473731.1</v>
      </c>
      <c r="D166" s="73">
        <f>SUM(D167:D170)</f>
        <v>182467.81</v>
      </c>
      <c r="E166" s="73">
        <f t="shared" ref="E166:I166" si="132">SUM(E167:E170)</f>
        <v>136836.95000000001</v>
      </c>
      <c r="F166" s="73">
        <f t="shared" si="132"/>
        <v>327494.03999999998</v>
      </c>
      <c r="G166" s="122">
        <f t="shared" si="132"/>
        <v>826932.3</v>
      </c>
      <c r="H166" s="122">
        <f t="shared" si="132"/>
        <v>0</v>
      </c>
      <c r="I166" s="156">
        <f t="shared" si="132"/>
        <v>0</v>
      </c>
      <c r="J166" s="156">
        <f t="shared" ref="J166:M166" si="133">SUM(J167:J170)</f>
        <v>0</v>
      </c>
      <c r="K166" s="156">
        <f t="shared" si="133"/>
        <v>0</v>
      </c>
      <c r="L166" s="73">
        <f t="shared" si="133"/>
        <v>0</v>
      </c>
      <c r="M166" s="73">
        <f t="shared" si="133"/>
        <v>0</v>
      </c>
      <c r="N166" s="54" t="s">
        <v>154</v>
      </c>
      <c r="O166" s="43"/>
    </row>
    <row r="167" spans="1:15" s="38" customFormat="1" ht="12" x14ac:dyDescent="0.2">
      <c r="A167" s="43">
        <v>117</v>
      </c>
      <c r="B167" s="61" t="s">
        <v>59</v>
      </c>
      <c r="C167" s="69">
        <f t="shared" si="120"/>
        <v>0</v>
      </c>
      <c r="D167" s="69">
        <v>0</v>
      </c>
      <c r="E167" s="69">
        <v>0</v>
      </c>
      <c r="F167" s="69">
        <v>0</v>
      </c>
      <c r="G167" s="85">
        <v>0</v>
      </c>
      <c r="H167" s="85">
        <v>0</v>
      </c>
      <c r="I167" s="77">
        <v>0</v>
      </c>
      <c r="J167" s="77">
        <v>0</v>
      </c>
      <c r="K167" s="77">
        <v>0</v>
      </c>
      <c r="L167" s="69">
        <v>0</v>
      </c>
      <c r="M167" s="69">
        <v>0</v>
      </c>
      <c r="N167" s="54"/>
      <c r="O167" s="43"/>
    </row>
    <row r="168" spans="1:15" s="38" customFormat="1" ht="12" x14ac:dyDescent="0.2">
      <c r="A168" s="43">
        <v>118</v>
      </c>
      <c r="B168" s="61" t="s">
        <v>10</v>
      </c>
      <c r="C168" s="69">
        <f t="shared" si="120"/>
        <v>0</v>
      </c>
      <c r="D168" s="69">
        <v>0</v>
      </c>
      <c r="E168" s="69">
        <v>0</v>
      </c>
      <c r="F168" s="69">
        <v>0</v>
      </c>
      <c r="G168" s="85">
        <v>0</v>
      </c>
      <c r="H168" s="85">
        <v>0</v>
      </c>
      <c r="I168" s="77">
        <v>0</v>
      </c>
      <c r="J168" s="77">
        <v>0</v>
      </c>
      <c r="K168" s="77">
        <v>0</v>
      </c>
      <c r="L168" s="69">
        <v>0</v>
      </c>
      <c r="M168" s="69">
        <v>0</v>
      </c>
      <c r="N168" s="54"/>
      <c r="O168" s="43"/>
    </row>
    <row r="169" spans="1:15" s="38" customFormat="1" ht="12" x14ac:dyDescent="0.2">
      <c r="A169" s="43">
        <v>119</v>
      </c>
      <c r="B169" s="61" t="s">
        <v>11</v>
      </c>
      <c r="C169" s="69">
        <f t="shared" si="120"/>
        <v>1473731.1</v>
      </c>
      <c r="D169" s="69">
        <v>182467.81</v>
      </c>
      <c r="E169" s="69">
        <v>136836.95000000001</v>
      </c>
      <c r="F169" s="69">
        <f>83511.96+243982.08</f>
        <v>327494.03999999998</v>
      </c>
      <c r="G169" s="85">
        <v>826932.3</v>
      </c>
      <c r="H169" s="85">
        <v>0</v>
      </c>
      <c r="I169" s="77">
        <v>0</v>
      </c>
      <c r="J169" s="77">
        <v>0</v>
      </c>
      <c r="K169" s="77">
        <v>0</v>
      </c>
      <c r="L169" s="69">
        <v>0</v>
      </c>
      <c r="M169" s="69">
        <v>0</v>
      </c>
      <c r="N169" s="54"/>
      <c r="O169" s="43"/>
    </row>
    <row r="170" spans="1:15" s="38" customFormat="1" ht="12" x14ac:dyDescent="0.2">
      <c r="A170" s="43">
        <v>120</v>
      </c>
      <c r="B170" s="61" t="s">
        <v>12</v>
      </c>
      <c r="C170" s="69">
        <f t="shared" si="120"/>
        <v>0</v>
      </c>
      <c r="D170" s="69">
        <v>0</v>
      </c>
      <c r="E170" s="69">
        <v>0</v>
      </c>
      <c r="F170" s="69">
        <v>0</v>
      </c>
      <c r="G170" s="85">
        <v>0</v>
      </c>
      <c r="H170" s="85">
        <v>0</v>
      </c>
      <c r="I170" s="77">
        <v>0</v>
      </c>
      <c r="J170" s="77">
        <v>0</v>
      </c>
      <c r="K170" s="77">
        <v>0</v>
      </c>
      <c r="L170" s="69">
        <v>0</v>
      </c>
      <c r="M170" s="69">
        <v>0</v>
      </c>
      <c r="N170" s="54"/>
      <c r="O170" s="43"/>
    </row>
    <row r="171" spans="1:15" s="38" customFormat="1" ht="72" x14ac:dyDescent="0.2">
      <c r="A171" s="43">
        <v>121</v>
      </c>
      <c r="B171" s="128" t="s">
        <v>107</v>
      </c>
      <c r="C171" s="132">
        <f t="shared" ref="C171:C202" si="134">SUM(D171:M171)</f>
        <v>221004036.19999999</v>
      </c>
      <c r="D171" s="73">
        <f>SUM(D172:D175)</f>
        <v>21978694.579999998</v>
      </c>
      <c r="E171" s="73">
        <f t="shared" ref="E171:I171" si="135">SUM(E172:E175)</f>
        <v>19796879.359999999</v>
      </c>
      <c r="F171" s="73">
        <f t="shared" si="135"/>
        <v>21508447.02</v>
      </c>
      <c r="G171" s="122">
        <f t="shared" si="135"/>
        <v>24325380.460000001</v>
      </c>
      <c r="H171" s="122">
        <f t="shared" si="135"/>
        <v>23970487.779999997</v>
      </c>
      <c r="I171" s="156">
        <f t="shared" si="135"/>
        <v>20669378</v>
      </c>
      <c r="J171" s="156">
        <f t="shared" ref="J171:M171" si="136">SUM(J172:J175)</f>
        <v>23337699</v>
      </c>
      <c r="K171" s="156">
        <f t="shared" si="136"/>
        <v>24849560</v>
      </c>
      <c r="L171" s="73">
        <f t="shared" si="136"/>
        <v>20283755</v>
      </c>
      <c r="M171" s="73">
        <f t="shared" si="136"/>
        <v>20283755</v>
      </c>
      <c r="N171" s="54" t="s">
        <v>166</v>
      </c>
      <c r="O171" s="43" t="s">
        <v>149</v>
      </c>
    </row>
    <row r="172" spans="1:15" s="38" customFormat="1" ht="12" x14ac:dyDescent="0.2">
      <c r="A172" s="43">
        <v>122</v>
      </c>
      <c r="B172" s="61" t="s">
        <v>59</v>
      </c>
      <c r="C172" s="69">
        <f t="shared" si="134"/>
        <v>0</v>
      </c>
      <c r="D172" s="69">
        <v>0</v>
      </c>
      <c r="E172" s="69">
        <v>0</v>
      </c>
      <c r="F172" s="69">
        <v>0</v>
      </c>
      <c r="G172" s="85">
        <v>0</v>
      </c>
      <c r="H172" s="85">
        <v>0</v>
      </c>
      <c r="I172" s="77">
        <v>0</v>
      </c>
      <c r="J172" s="77">
        <v>0</v>
      </c>
      <c r="K172" s="77">
        <v>0</v>
      </c>
      <c r="L172" s="69">
        <v>0</v>
      </c>
      <c r="M172" s="69">
        <v>0</v>
      </c>
      <c r="N172" s="74"/>
      <c r="O172" s="43"/>
    </row>
    <row r="173" spans="1:15" s="38" customFormat="1" ht="12" x14ac:dyDescent="0.2">
      <c r="A173" s="43">
        <v>123</v>
      </c>
      <c r="B173" s="61" t="s">
        <v>10</v>
      </c>
      <c r="C173" s="69">
        <f t="shared" si="134"/>
        <v>358256</v>
      </c>
      <c r="D173" s="69">
        <v>0</v>
      </c>
      <c r="E173" s="69">
        <v>0</v>
      </c>
      <c r="F173" s="69">
        <v>0</v>
      </c>
      <c r="G173" s="85">
        <v>358256</v>
      </c>
      <c r="H173" s="85">
        <v>0</v>
      </c>
      <c r="I173" s="77">
        <v>0</v>
      </c>
      <c r="J173" s="77">
        <v>0</v>
      </c>
      <c r="K173" s="77">
        <v>0</v>
      </c>
      <c r="L173" s="69">
        <v>0</v>
      </c>
      <c r="M173" s="69">
        <v>0</v>
      </c>
      <c r="N173" s="74"/>
      <c r="O173" s="43"/>
    </row>
    <row r="174" spans="1:15" s="38" customFormat="1" ht="12" x14ac:dyDescent="0.2">
      <c r="A174" s="43">
        <v>124</v>
      </c>
      <c r="B174" s="61" t="s">
        <v>11</v>
      </c>
      <c r="C174" s="69">
        <f t="shared" si="134"/>
        <v>220167927.62</v>
      </c>
      <c r="D174" s="69">
        <f>24674975+D179-3701246</f>
        <v>21933694.579999998</v>
      </c>
      <c r="E174" s="69">
        <f>26674975-7570825+E179</f>
        <v>19731679.359999999</v>
      </c>
      <c r="F174" s="69">
        <f>26674975-5985429+494249.02-7057.47-49451.91-378943.09+646604.47</f>
        <v>21394947.02</v>
      </c>
      <c r="G174" s="85">
        <f>32316913-12652822-10185157+903676.54+9452443.46+57927.45+4005943.01</f>
        <v>23898924.460000001</v>
      </c>
      <c r="H174" s="85">
        <f>32316913-12652822-11970357+12141320-2632009+6693490.2</f>
        <v>23896535.199999999</v>
      </c>
      <c r="I174" s="77">
        <v>20669378</v>
      </c>
      <c r="J174" s="77">
        <v>23333699</v>
      </c>
      <c r="K174" s="77">
        <v>24845560</v>
      </c>
      <c r="L174" s="69">
        <f>32316913-12085158</f>
        <v>20231755</v>
      </c>
      <c r="M174" s="69">
        <f>32316913-12085158</f>
        <v>20231755</v>
      </c>
      <c r="N174" s="74"/>
      <c r="O174" s="43"/>
    </row>
    <row r="175" spans="1:15" s="38" customFormat="1" ht="12" x14ac:dyDescent="0.2">
      <c r="A175" s="43">
        <v>125</v>
      </c>
      <c r="B175" s="61" t="s">
        <v>12</v>
      </c>
      <c r="C175" s="69">
        <f t="shared" si="134"/>
        <v>477852.58</v>
      </c>
      <c r="D175" s="69">
        <v>45000</v>
      </c>
      <c r="E175" s="69">
        <f>50000-10000+25200</f>
        <v>65200</v>
      </c>
      <c r="F175" s="69">
        <f>60000-15000+5000+15000+10000+33500+5000</f>
        <v>113500</v>
      </c>
      <c r="G175" s="85">
        <f>60000-15000+6200+17000</f>
        <v>68200</v>
      </c>
      <c r="H175" s="85">
        <f>60000-15000+7000+21952.58</f>
        <v>73952.58</v>
      </c>
      <c r="I175" s="77">
        <v>0</v>
      </c>
      <c r="J175" s="77">
        <v>4000</v>
      </c>
      <c r="K175" s="77">
        <v>4000</v>
      </c>
      <c r="L175" s="69">
        <f>60000-8000</f>
        <v>52000</v>
      </c>
      <c r="M175" s="69">
        <f>60000-8000</f>
        <v>52000</v>
      </c>
      <c r="N175" s="74"/>
      <c r="O175" s="43"/>
    </row>
    <row r="176" spans="1:15" s="38" customFormat="1" ht="72" x14ac:dyDescent="0.2">
      <c r="A176" s="43">
        <v>126</v>
      </c>
      <c r="B176" s="65" t="s">
        <v>119</v>
      </c>
      <c r="C176" s="69">
        <f t="shared" si="134"/>
        <v>4192143.7199999997</v>
      </c>
      <c r="D176" s="73">
        <f>SUM(D177:D180)</f>
        <v>959965.58</v>
      </c>
      <c r="E176" s="73">
        <f t="shared" ref="E176:I176" si="137">SUM(E177:E180)</f>
        <v>627529.36</v>
      </c>
      <c r="F176" s="73">
        <f t="shared" si="137"/>
        <v>494249.02</v>
      </c>
      <c r="G176" s="122">
        <f t="shared" si="137"/>
        <v>2110399.7599999998</v>
      </c>
      <c r="H176" s="122">
        <f t="shared" si="137"/>
        <v>0</v>
      </c>
      <c r="I176" s="156">
        <f t="shared" si="137"/>
        <v>0</v>
      </c>
      <c r="J176" s="156">
        <f t="shared" ref="J176:M176" si="138">SUM(J177:J180)</f>
        <v>0</v>
      </c>
      <c r="K176" s="156">
        <f t="shared" si="138"/>
        <v>0</v>
      </c>
      <c r="L176" s="73">
        <f t="shared" si="138"/>
        <v>0</v>
      </c>
      <c r="M176" s="73">
        <f t="shared" si="138"/>
        <v>0</v>
      </c>
      <c r="N176" s="54" t="s">
        <v>154</v>
      </c>
      <c r="O176" s="43" t="s">
        <v>149</v>
      </c>
    </row>
    <row r="177" spans="1:15" s="38" customFormat="1" ht="12" x14ac:dyDescent="0.2">
      <c r="A177" s="43">
        <v>127</v>
      </c>
      <c r="B177" s="61" t="s">
        <v>59</v>
      </c>
      <c r="C177" s="69">
        <f t="shared" si="134"/>
        <v>0</v>
      </c>
      <c r="D177" s="69">
        <v>0</v>
      </c>
      <c r="E177" s="69">
        <v>0</v>
      </c>
      <c r="F177" s="69">
        <v>0</v>
      </c>
      <c r="G177" s="85">
        <v>0</v>
      </c>
      <c r="H177" s="85">
        <v>0</v>
      </c>
      <c r="I177" s="77">
        <v>0</v>
      </c>
      <c r="J177" s="77">
        <v>0</v>
      </c>
      <c r="K177" s="77">
        <v>0</v>
      </c>
      <c r="L177" s="69">
        <v>0</v>
      </c>
      <c r="M177" s="69">
        <v>0</v>
      </c>
      <c r="N177" s="54"/>
      <c r="O177" s="43"/>
    </row>
    <row r="178" spans="1:15" s="38" customFormat="1" ht="12" x14ac:dyDescent="0.2">
      <c r="A178" s="43">
        <v>128</v>
      </c>
      <c r="B178" s="61" t="s">
        <v>10</v>
      </c>
      <c r="C178" s="69">
        <f t="shared" si="134"/>
        <v>0</v>
      </c>
      <c r="D178" s="69">
        <v>0</v>
      </c>
      <c r="E178" s="69">
        <v>0</v>
      </c>
      <c r="F178" s="69">
        <v>0</v>
      </c>
      <c r="G178" s="85">
        <v>0</v>
      </c>
      <c r="H178" s="85">
        <v>0</v>
      </c>
      <c r="I178" s="77">
        <v>0</v>
      </c>
      <c r="J178" s="77">
        <v>0</v>
      </c>
      <c r="K178" s="77">
        <v>0</v>
      </c>
      <c r="L178" s="69">
        <v>0</v>
      </c>
      <c r="M178" s="69">
        <v>0</v>
      </c>
      <c r="N178" s="54"/>
      <c r="O178" s="43"/>
    </row>
    <row r="179" spans="1:15" s="38" customFormat="1" ht="12" x14ac:dyDescent="0.2">
      <c r="A179" s="43">
        <v>129</v>
      </c>
      <c r="B179" s="61" t="s">
        <v>11</v>
      </c>
      <c r="C179" s="69">
        <f t="shared" si="134"/>
        <v>4192143.7199999997</v>
      </c>
      <c r="D179" s="69">
        <f>968905.46-8939.88</f>
        <v>959965.58</v>
      </c>
      <c r="E179" s="69">
        <v>627529.36</v>
      </c>
      <c r="F179" s="69">
        <v>494249.02</v>
      </c>
      <c r="G179" s="85">
        <v>2110399.7599999998</v>
      </c>
      <c r="H179" s="85">
        <v>0</v>
      </c>
      <c r="I179" s="77">
        <v>0</v>
      </c>
      <c r="J179" s="77">
        <v>0</v>
      </c>
      <c r="K179" s="77">
        <v>0</v>
      </c>
      <c r="L179" s="69">
        <v>0</v>
      </c>
      <c r="M179" s="69">
        <v>0</v>
      </c>
      <c r="N179" s="54"/>
      <c r="O179" s="43"/>
    </row>
    <row r="180" spans="1:15" s="38" customFormat="1" ht="12" x14ac:dyDescent="0.2">
      <c r="A180" s="43">
        <v>130</v>
      </c>
      <c r="B180" s="61" t="s">
        <v>12</v>
      </c>
      <c r="C180" s="69">
        <f t="shared" si="134"/>
        <v>0</v>
      </c>
      <c r="D180" s="69">
        <v>0</v>
      </c>
      <c r="E180" s="69">
        <v>0</v>
      </c>
      <c r="F180" s="69">
        <v>0</v>
      </c>
      <c r="G180" s="85">
        <v>0</v>
      </c>
      <c r="H180" s="85">
        <v>0</v>
      </c>
      <c r="I180" s="77">
        <v>0</v>
      </c>
      <c r="J180" s="77">
        <v>0</v>
      </c>
      <c r="K180" s="77">
        <v>0</v>
      </c>
      <c r="L180" s="69">
        <v>0</v>
      </c>
      <c r="M180" s="69">
        <v>0</v>
      </c>
      <c r="N180" s="54"/>
      <c r="O180" s="43"/>
    </row>
    <row r="181" spans="1:15" s="38" customFormat="1" ht="48" x14ac:dyDescent="0.2">
      <c r="A181" s="43">
        <v>131</v>
      </c>
      <c r="B181" s="65" t="s">
        <v>108</v>
      </c>
      <c r="C181" s="132">
        <f t="shared" si="134"/>
        <v>543178308.78999996</v>
      </c>
      <c r="D181" s="73">
        <f>SUM(D182:D185)</f>
        <v>43729548.120000005</v>
      </c>
      <c r="E181" s="73">
        <f t="shared" ref="E181:I181" si="139">SUM(E182:E185)</f>
        <v>43233513.710000001</v>
      </c>
      <c r="F181" s="73">
        <f t="shared" si="139"/>
        <v>58171610.060000002</v>
      </c>
      <c r="G181" s="122">
        <f t="shared" si="139"/>
        <v>72454711.650000006</v>
      </c>
      <c r="H181" s="122">
        <f t="shared" si="139"/>
        <v>60534523.340000004</v>
      </c>
      <c r="I181" s="156">
        <f t="shared" si="139"/>
        <v>56526874.210000001</v>
      </c>
      <c r="J181" s="156">
        <f t="shared" ref="J181:M181" si="140">SUM(J182:J185)</f>
        <v>57085576.280000001</v>
      </c>
      <c r="K181" s="156">
        <f t="shared" si="140"/>
        <v>54718721.920000002</v>
      </c>
      <c r="L181" s="73">
        <f t="shared" si="140"/>
        <v>48361614.75</v>
      </c>
      <c r="M181" s="73">
        <f t="shared" si="140"/>
        <v>48361614.75</v>
      </c>
      <c r="N181" s="54" t="s">
        <v>163</v>
      </c>
      <c r="O181" s="71"/>
    </row>
    <row r="182" spans="1:15" s="38" customFormat="1" ht="12" x14ac:dyDescent="0.2">
      <c r="A182" s="43">
        <v>132</v>
      </c>
      <c r="B182" s="61" t="s">
        <v>59</v>
      </c>
      <c r="C182" s="69">
        <f t="shared" si="134"/>
        <v>0</v>
      </c>
      <c r="D182" s="69">
        <v>0</v>
      </c>
      <c r="E182" s="69">
        <v>0</v>
      </c>
      <c r="F182" s="69">
        <v>0</v>
      </c>
      <c r="G182" s="85">
        <v>0</v>
      </c>
      <c r="H182" s="85">
        <v>0</v>
      </c>
      <c r="I182" s="77">
        <v>0</v>
      </c>
      <c r="J182" s="77">
        <v>0</v>
      </c>
      <c r="K182" s="77">
        <v>0</v>
      </c>
      <c r="L182" s="69">
        <v>0</v>
      </c>
      <c r="M182" s="69">
        <v>0</v>
      </c>
      <c r="N182" s="74"/>
      <c r="O182" s="43"/>
    </row>
    <row r="183" spans="1:15" s="38" customFormat="1" ht="12" x14ac:dyDescent="0.2">
      <c r="A183" s="43">
        <v>133</v>
      </c>
      <c r="B183" s="61" t="s">
        <v>10</v>
      </c>
      <c r="C183" s="69">
        <f t="shared" si="134"/>
        <v>4303918</v>
      </c>
      <c r="D183" s="69">
        <v>0</v>
      </c>
      <c r="E183" s="69">
        <v>0</v>
      </c>
      <c r="F183" s="69">
        <v>0</v>
      </c>
      <c r="G183" s="85">
        <v>4303918</v>
      </c>
      <c r="H183" s="85">
        <v>0</v>
      </c>
      <c r="I183" s="77">
        <v>0</v>
      </c>
      <c r="J183" s="77">
        <v>0</v>
      </c>
      <c r="K183" s="77">
        <v>0</v>
      </c>
      <c r="L183" s="69">
        <v>0</v>
      </c>
      <c r="M183" s="69">
        <v>0</v>
      </c>
      <c r="N183" s="54"/>
      <c r="O183" s="43"/>
    </row>
    <row r="184" spans="1:15" s="38" customFormat="1" ht="12" x14ac:dyDescent="0.2">
      <c r="A184" s="43">
        <v>134</v>
      </c>
      <c r="B184" s="61" t="s">
        <v>11</v>
      </c>
      <c r="C184" s="69">
        <f t="shared" si="134"/>
        <v>452360104.12000006</v>
      </c>
      <c r="D184" s="69">
        <f>31296192+D189+3201246+569149</f>
        <v>35552148.120000005</v>
      </c>
      <c r="E184" s="69">
        <f>32296192+569768+E189+1329860-39547.94+1172297+296560.24</f>
        <v>36088728.710000001</v>
      </c>
      <c r="F184" s="69">
        <f>31801321.43+8205139.57+493212.06+8646271</f>
        <v>49145944.060000002</v>
      </c>
      <c r="G184" s="85">
        <f>32059925+5378275-12622102+1866015.98+13675412.02+621076.62+18291979.03</f>
        <v>59270581.649999999</v>
      </c>
      <c r="H184" s="85">
        <f>32059925+5418274-21504061-1775658.25+18100241.01+5252848.74+14300243.42+200000</f>
        <v>52051812.920000002</v>
      </c>
      <c r="I184" s="77">
        <v>47510640.359999999</v>
      </c>
      <c r="J184" s="77">
        <v>47943301.219999999</v>
      </c>
      <c r="K184" s="77">
        <v>45524141.579999998</v>
      </c>
      <c r="L184" s="69">
        <f>32059925+9352136-1775658.25</f>
        <v>39636402.75</v>
      </c>
      <c r="M184" s="69">
        <f>32059925+9352136-1775658.25</f>
        <v>39636402.75</v>
      </c>
      <c r="N184" s="54"/>
      <c r="O184" s="43"/>
    </row>
    <row r="185" spans="1:15" s="38" customFormat="1" ht="12" x14ac:dyDescent="0.2">
      <c r="A185" s="43">
        <v>135</v>
      </c>
      <c r="B185" s="61" t="s">
        <v>12</v>
      </c>
      <c r="C185" s="69">
        <f t="shared" si="134"/>
        <v>86514286.670000002</v>
      </c>
      <c r="D185" s="69">
        <v>8177400</v>
      </c>
      <c r="E185" s="69">
        <f>8586200-1576071+134656</f>
        <v>7144785</v>
      </c>
      <c r="F185" s="69">
        <f>9015500-1073660+75000+100000+787000+121826</f>
        <v>9025666</v>
      </c>
      <c r="G185" s="85">
        <f>9015500-1073660+783372+5000+150000</f>
        <v>8880212</v>
      </c>
      <c r="H185" s="85">
        <f>9015500-1073660+783372+1747634.42-468019.09-1522116.91</f>
        <v>8482710.4199999999</v>
      </c>
      <c r="I185" s="77">
        <v>9016233.8499999996</v>
      </c>
      <c r="J185" s="77">
        <v>9142275.0600000005</v>
      </c>
      <c r="K185" s="77">
        <v>9194580.3399999999</v>
      </c>
      <c r="L185" s="69">
        <f>9015500-290288</f>
        <v>8725212</v>
      </c>
      <c r="M185" s="69">
        <f>9015500-290288</f>
        <v>8725212</v>
      </c>
      <c r="N185" s="54"/>
      <c r="O185" s="43"/>
    </row>
    <row r="186" spans="1:15" s="38" customFormat="1" ht="72" x14ac:dyDescent="0.2">
      <c r="A186" s="43">
        <v>136</v>
      </c>
      <c r="B186" s="65" t="s">
        <v>114</v>
      </c>
      <c r="C186" s="69">
        <f t="shared" si="134"/>
        <v>11443885.48</v>
      </c>
      <c r="D186" s="73">
        <f>SUM(D187:D190)</f>
        <v>485561.12</v>
      </c>
      <c r="E186" s="73">
        <f t="shared" ref="E186:G186" si="141">SUM(E187:E190)</f>
        <v>463599.41</v>
      </c>
      <c r="F186" s="73">
        <f t="shared" si="141"/>
        <v>493212.06</v>
      </c>
      <c r="G186" s="122">
        <f t="shared" si="141"/>
        <v>10001512.890000001</v>
      </c>
      <c r="H186" s="122">
        <f>SUM(H187:H190)</f>
        <v>0</v>
      </c>
      <c r="I186" s="156"/>
      <c r="J186" s="156">
        <f t="shared" ref="J186:M186" si="142">SUM(J187:J190)</f>
        <v>0</v>
      </c>
      <c r="K186" s="156">
        <f t="shared" si="142"/>
        <v>0</v>
      </c>
      <c r="L186" s="73">
        <f t="shared" si="142"/>
        <v>0</v>
      </c>
      <c r="M186" s="73">
        <f t="shared" si="142"/>
        <v>0</v>
      </c>
      <c r="N186" s="54" t="s">
        <v>154</v>
      </c>
      <c r="O186" s="43" t="s">
        <v>149</v>
      </c>
    </row>
    <row r="187" spans="1:15" s="38" customFormat="1" ht="12" x14ac:dyDescent="0.2">
      <c r="A187" s="43">
        <v>137</v>
      </c>
      <c r="B187" s="61" t="s">
        <v>59</v>
      </c>
      <c r="C187" s="69">
        <f t="shared" si="134"/>
        <v>0</v>
      </c>
      <c r="D187" s="69">
        <v>0</v>
      </c>
      <c r="E187" s="69">
        <v>0</v>
      </c>
      <c r="F187" s="69">
        <v>0</v>
      </c>
      <c r="G187" s="85">
        <v>0</v>
      </c>
      <c r="H187" s="85">
        <v>0</v>
      </c>
      <c r="I187" s="77">
        <v>0</v>
      </c>
      <c r="J187" s="77">
        <v>0</v>
      </c>
      <c r="K187" s="77">
        <v>0</v>
      </c>
      <c r="L187" s="69">
        <v>0</v>
      </c>
      <c r="M187" s="69">
        <v>0</v>
      </c>
      <c r="N187" s="54"/>
      <c r="O187" s="43"/>
    </row>
    <row r="188" spans="1:15" s="38" customFormat="1" ht="12" x14ac:dyDescent="0.2">
      <c r="A188" s="43">
        <v>138</v>
      </c>
      <c r="B188" s="61" t="s">
        <v>10</v>
      </c>
      <c r="C188" s="69">
        <f t="shared" si="134"/>
        <v>0</v>
      </c>
      <c r="D188" s="69">
        <v>0</v>
      </c>
      <c r="E188" s="69">
        <v>0</v>
      </c>
      <c r="F188" s="69">
        <v>0</v>
      </c>
      <c r="G188" s="85">
        <v>0</v>
      </c>
      <c r="H188" s="85">
        <v>0</v>
      </c>
      <c r="I188" s="77">
        <v>0</v>
      </c>
      <c r="J188" s="77">
        <v>0</v>
      </c>
      <c r="K188" s="77">
        <v>0</v>
      </c>
      <c r="L188" s="69">
        <v>0</v>
      </c>
      <c r="M188" s="69">
        <v>0</v>
      </c>
      <c r="N188" s="54"/>
      <c r="O188" s="43"/>
    </row>
    <row r="189" spans="1:15" s="38" customFormat="1" ht="12" x14ac:dyDescent="0.2">
      <c r="A189" s="43">
        <v>139</v>
      </c>
      <c r="B189" s="61" t="s">
        <v>11</v>
      </c>
      <c r="C189" s="69">
        <f t="shared" si="134"/>
        <v>11443885.48</v>
      </c>
      <c r="D189" s="69">
        <v>485561.12</v>
      </c>
      <c r="E189" s="69">
        <f>424051.47+39547.94</f>
        <v>463599.41</v>
      </c>
      <c r="F189" s="69">
        <v>493212.06</v>
      </c>
      <c r="G189" s="85">
        <v>10001512.890000001</v>
      </c>
      <c r="H189" s="85">
        <v>0</v>
      </c>
      <c r="I189" s="77">
        <v>0</v>
      </c>
      <c r="J189" s="77">
        <v>0</v>
      </c>
      <c r="K189" s="77">
        <v>0</v>
      </c>
      <c r="L189" s="69">
        <v>0</v>
      </c>
      <c r="M189" s="69">
        <v>0</v>
      </c>
      <c r="N189" s="54"/>
      <c r="O189" s="43"/>
    </row>
    <row r="190" spans="1:15" s="38" customFormat="1" ht="12" x14ac:dyDescent="0.2">
      <c r="A190" s="43">
        <v>140</v>
      </c>
      <c r="B190" s="61" t="s">
        <v>12</v>
      </c>
      <c r="C190" s="69">
        <f t="shared" si="134"/>
        <v>0</v>
      </c>
      <c r="D190" s="69">
        <v>0</v>
      </c>
      <c r="E190" s="69">
        <v>0</v>
      </c>
      <c r="F190" s="69">
        <v>0</v>
      </c>
      <c r="G190" s="85">
        <v>0</v>
      </c>
      <c r="H190" s="85">
        <v>0</v>
      </c>
      <c r="I190" s="77">
        <v>0</v>
      </c>
      <c r="J190" s="77">
        <v>0</v>
      </c>
      <c r="K190" s="77">
        <v>0</v>
      </c>
      <c r="L190" s="69">
        <v>0</v>
      </c>
      <c r="M190" s="69">
        <v>0</v>
      </c>
      <c r="N190" s="54"/>
      <c r="O190" s="43"/>
    </row>
    <row r="191" spans="1:15" s="38" customFormat="1" ht="96" x14ac:dyDescent="0.2">
      <c r="A191" s="43">
        <v>141</v>
      </c>
      <c r="B191" s="65" t="s">
        <v>167</v>
      </c>
      <c r="C191" s="132">
        <f t="shared" si="134"/>
        <v>1885000</v>
      </c>
      <c r="D191" s="73">
        <f>SUM(D192:D195)</f>
        <v>50000</v>
      </c>
      <c r="E191" s="73">
        <f t="shared" ref="E191:I191" si="143">SUM(E192:E195)</f>
        <v>250000</v>
      </c>
      <c r="F191" s="73">
        <f t="shared" si="143"/>
        <v>215000</v>
      </c>
      <c r="G191" s="122">
        <f t="shared" si="143"/>
        <v>200000</v>
      </c>
      <c r="H191" s="122">
        <f t="shared" si="143"/>
        <v>270000</v>
      </c>
      <c r="I191" s="156">
        <f t="shared" si="143"/>
        <v>135000</v>
      </c>
      <c r="J191" s="156">
        <f t="shared" ref="J191:M191" si="144">SUM(J192:J195)</f>
        <v>270000</v>
      </c>
      <c r="K191" s="156">
        <f t="shared" si="144"/>
        <v>270000</v>
      </c>
      <c r="L191" s="73">
        <f t="shared" si="144"/>
        <v>75000</v>
      </c>
      <c r="M191" s="73">
        <f t="shared" si="144"/>
        <v>150000</v>
      </c>
      <c r="N191" s="54" t="s">
        <v>164</v>
      </c>
      <c r="O191" s="43" t="s">
        <v>149</v>
      </c>
    </row>
    <row r="192" spans="1:15" s="38" customFormat="1" ht="12" x14ac:dyDescent="0.2">
      <c r="A192" s="43">
        <v>142</v>
      </c>
      <c r="B192" s="61" t="s">
        <v>59</v>
      </c>
      <c r="C192" s="69">
        <f t="shared" si="134"/>
        <v>250000</v>
      </c>
      <c r="D192" s="69">
        <v>50000</v>
      </c>
      <c r="E192" s="69">
        <v>50000</v>
      </c>
      <c r="F192" s="69">
        <v>100000</v>
      </c>
      <c r="G192" s="85">
        <v>50000</v>
      </c>
      <c r="H192" s="85">
        <v>0</v>
      </c>
      <c r="I192" s="77">
        <v>0</v>
      </c>
      <c r="J192" s="77">
        <v>0</v>
      </c>
      <c r="K192" s="77">
        <v>0</v>
      </c>
      <c r="L192" s="69">
        <v>0</v>
      </c>
      <c r="M192" s="69">
        <v>0</v>
      </c>
      <c r="N192" s="79"/>
      <c r="O192" s="43"/>
    </row>
    <row r="193" spans="1:15" s="38" customFormat="1" ht="12" x14ac:dyDescent="0.2">
      <c r="A193" s="43">
        <v>143</v>
      </c>
      <c r="B193" s="61" t="s">
        <v>10</v>
      </c>
      <c r="C193" s="69">
        <f t="shared" si="134"/>
        <v>590000</v>
      </c>
      <c r="D193" s="69">
        <v>0</v>
      </c>
      <c r="E193" s="69">
        <v>0</v>
      </c>
      <c r="F193" s="69">
        <v>0</v>
      </c>
      <c r="G193" s="85">
        <v>0</v>
      </c>
      <c r="H193" s="85">
        <v>150000</v>
      </c>
      <c r="I193" s="77">
        <v>50000</v>
      </c>
      <c r="J193" s="77">
        <v>195000</v>
      </c>
      <c r="K193" s="77">
        <v>195000</v>
      </c>
      <c r="L193" s="69">
        <v>0</v>
      </c>
      <c r="M193" s="69">
        <v>0</v>
      </c>
      <c r="N193" s="79"/>
      <c r="O193" s="43"/>
    </row>
    <row r="194" spans="1:15" s="38" customFormat="1" ht="12" x14ac:dyDescent="0.2">
      <c r="A194" s="43">
        <v>144</v>
      </c>
      <c r="B194" s="61" t="s">
        <v>11</v>
      </c>
      <c r="C194" s="69">
        <f t="shared" si="134"/>
        <v>1045000</v>
      </c>
      <c r="D194" s="69">
        <v>0</v>
      </c>
      <c r="E194" s="69">
        <v>200000</v>
      </c>
      <c r="F194" s="69">
        <f>150000-35000</f>
        <v>115000</v>
      </c>
      <c r="G194" s="85">
        <f>300000-150000</f>
        <v>150000</v>
      </c>
      <c r="H194" s="85">
        <f>300000-150000-75000+45000</f>
        <v>120000</v>
      </c>
      <c r="I194" s="77">
        <v>85000</v>
      </c>
      <c r="J194" s="77">
        <f>150000-75000</f>
        <v>75000</v>
      </c>
      <c r="K194" s="77">
        <v>75000</v>
      </c>
      <c r="L194" s="69">
        <v>75000</v>
      </c>
      <c r="M194" s="69">
        <f>150000</f>
        <v>150000</v>
      </c>
      <c r="N194" s="79"/>
      <c r="O194" s="43"/>
    </row>
    <row r="195" spans="1:15" s="38" customFormat="1" ht="12" x14ac:dyDescent="0.2">
      <c r="A195" s="43">
        <v>145</v>
      </c>
      <c r="B195" s="61" t="s">
        <v>12</v>
      </c>
      <c r="C195" s="69">
        <f t="shared" si="134"/>
        <v>0</v>
      </c>
      <c r="D195" s="69">
        <v>0</v>
      </c>
      <c r="E195" s="69">
        <v>0</v>
      </c>
      <c r="F195" s="69">
        <v>0</v>
      </c>
      <c r="G195" s="85">
        <v>0</v>
      </c>
      <c r="H195" s="85">
        <v>0</v>
      </c>
      <c r="I195" s="77">
        <v>0</v>
      </c>
      <c r="J195" s="77">
        <v>0</v>
      </c>
      <c r="K195" s="77">
        <v>0</v>
      </c>
      <c r="L195" s="69">
        <v>0</v>
      </c>
      <c r="M195" s="69">
        <v>0</v>
      </c>
      <c r="N195" s="79"/>
      <c r="O195" s="43"/>
    </row>
    <row r="196" spans="1:15" s="38" customFormat="1" ht="60" x14ac:dyDescent="0.2">
      <c r="A196" s="43">
        <v>146</v>
      </c>
      <c r="B196" s="92" t="s">
        <v>168</v>
      </c>
      <c r="C196" s="132">
        <f t="shared" si="134"/>
        <v>1962074</v>
      </c>
      <c r="D196" s="73">
        <f>SUM(D197:D200)</f>
        <v>0</v>
      </c>
      <c r="E196" s="73">
        <f t="shared" ref="E196:I196" si="145">SUM(E197:E200)</f>
        <v>0</v>
      </c>
      <c r="F196" s="73">
        <f t="shared" si="145"/>
        <v>1789935</v>
      </c>
      <c r="G196" s="122">
        <f t="shared" si="145"/>
        <v>172139</v>
      </c>
      <c r="H196" s="122">
        <f t="shared" si="145"/>
        <v>0</v>
      </c>
      <c r="I196" s="156">
        <f t="shared" si="145"/>
        <v>0</v>
      </c>
      <c r="J196" s="156">
        <f t="shared" ref="J196:M196" si="146">SUM(J197:J200)</f>
        <v>0</v>
      </c>
      <c r="K196" s="156">
        <f t="shared" si="146"/>
        <v>0</v>
      </c>
      <c r="L196" s="73">
        <f t="shared" si="146"/>
        <v>0</v>
      </c>
      <c r="M196" s="73">
        <f t="shared" si="146"/>
        <v>0</v>
      </c>
      <c r="N196" s="80" t="s">
        <v>150</v>
      </c>
      <c r="O196" s="43" t="s">
        <v>149</v>
      </c>
    </row>
    <row r="197" spans="1:15" s="38" customFormat="1" ht="12" x14ac:dyDescent="0.2">
      <c r="A197" s="43">
        <v>147</v>
      </c>
      <c r="B197" s="61" t="s">
        <v>59</v>
      </c>
      <c r="C197" s="69">
        <f t="shared" si="134"/>
        <v>0</v>
      </c>
      <c r="D197" s="69">
        <v>0</v>
      </c>
      <c r="E197" s="69">
        <v>0</v>
      </c>
      <c r="F197" s="69">
        <v>0</v>
      </c>
      <c r="G197" s="85">
        <v>0</v>
      </c>
      <c r="H197" s="85">
        <v>0</v>
      </c>
      <c r="I197" s="77">
        <v>0</v>
      </c>
      <c r="J197" s="77">
        <v>0</v>
      </c>
      <c r="K197" s="77">
        <v>0</v>
      </c>
      <c r="L197" s="69">
        <v>0</v>
      </c>
      <c r="M197" s="69">
        <v>0</v>
      </c>
      <c r="N197" s="81"/>
      <c r="O197" s="43"/>
    </row>
    <row r="198" spans="1:15" s="38" customFormat="1" ht="12" x14ac:dyDescent="0.2">
      <c r="A198" s="43">
        <v>148</v>
      </c>
      <c r="B198" s="61" t="s">
        <v>10</v>
      </c>
      <c r="C198" s="69">
        <f t="shared" si="134"/>
        <v>0</v>
      </c>
      <c r="D198" s="69">
        <v>0</v>
      </c>
      <c r="E198" s="69">
        <v>0</v>
      </c>
      <c r="F198" s="69">
        <v>0</v>
      </c>
      <c r="G198" s="85">
        <v>0</v>
      </c>
      <c r="H198" s="85">
        <v>0</v>
      </c>
      <c r="I198" s="77">
        <v>0</v>
      </c>
      <c r="J198" s="77">
        <v>0</v>
      </c>
      <c r="K198" s="77">
        <v>0</v>
      </c>
      <c r="L198" s="69">
        <v>0</v>
      </c>
      <c r="M198" s="69">
        <v>0</v>
      </c>
      <c r="N198" s="81"/>
      <c r="O198" s="43"/>
    </row>
    <row r="199" spans="1:15" s="38" customFormat="1" ht="12" x14ac:dyDescent="0.2">
      <c r="A199" s="43">
        <v>149</v>
      </c>
      <c r="B199" s="61" t="s">
        <v>11</v>
      </c>
      <c r="C199" s="69">
        <f t="shared" si="134"/>
        <v>1962074</v>
      </c>
      <c r="D199" s="69">
        <v>0</v>
      </c>
      <c r="E199" s="69">
        <v>0</v>
      </c>
      <c r="F199" s="69">
        <f>1662817+127118</f>
        <v>1789935</v>
      </c>
      <c r="G199" s="85">
        <v>172139</v>
      </c>
      <c r="H199" s="85">
        <v>0</v>
      </c>
      <c r="I199" s="77">
        <v>0</v>
      </c>
      <c r="J199" s="77">
        <v>0</v>
      </c>
      <c r="K199" s="77">
        <v>0</v>
      </c>
      <c r="L199" s="69">
        <v>0</v>
      </c>
      <c r="M199" s="69">
        <v>0</v>
      </c>
      <c r="N199" s="81"/>
      <c r="O199" s="43"/>
    </row>
    <row r="200" spans="1:15" s="38" customFormat="1" ht="12" x14ac:dyDescent="0.2">
      <c r="A200" s="43">
        <v>150</v>
      </c>
      <c r="B200" s="61" t="s">
        <v>12</v>
      </c>
      <c r="C200" s="69">
        <f t="shared" si="134"/>
        <v>0</v>
      </c>
      <c r="D200" s="69">
        <v>0</v>
      </c>
      <c r="E200" s="69">
        <v>0</v>
      </c>
      <c r="F200" s="69">
        <v>0</v>
      </c>
      <c r="G200" s="85">
        <v>0</v>
      </c>
      <c r="H200" s="85">
        <v>0</v>
      </c>
      <c r="I200" s="77">
        <v>0</v>
      </c>
      <c r="J200" s="77">
        <v>0</v>
      </c>
      <c r="K200" s="77">
        <v>0</v>
      </c>
      <c r="L200" s="69">
        <v>0</v>
      </c>
      <c r="M200" s="69">
        <v>0</v>
      </c>
      <c r="N200" s="81"/>
      <c r="O200" s="43"/>
    </row>
    <row r="201" spans="1:15" s="38" customFormat="1" ht="108" x14ac:dyDescent="0.2">
      <c r="A201" s="43">
        <v>151</v>
      </c>
      <c r="B201" s="65" t="s">
        <v>169</v>
      </c>
      <c r="C201" s="132">
        <f t="shared" si="134"/>
        <v>71688288</v>
      </c>
      <c r="D201" s="73">
        <f>SUM(D202:D205)</f>
        <v>0</v>
      </c>
      <c r="E201" s="73">
        <f t="shared" ref="E201:I201" si="147">SUM(E202:E205)</f>
        <v>0</v>
      </c>
      <c r="F201" s="73">
        <f t="shared" si="147"/>
        <v>0</v>
      </c>
      <c r="G201" s="122">
        <f t="shared" si="147"/>
        <v>0</v>
      </c>
      <c r="H201" s="122">
        <f t="shared" si="147"/>
        <v>35514420</v>
      </c>
      <c r="I201" s="156">
        <f t="shared" si="147"/>
        <v>36173868</v>
      </c>
      <c r="J201" s="156">
        <f t="shared" ref="J201:M201" si="148">SUM(J202:J205)</f>
        <v>0</v>
      </c>
      <c r="K201" s="156">
        <f t="shared" si="148"/>
        <v>0</v>
      </c>
      <c r="L201" s="73">
        <f t="shared" si="148"/>
        <v>0</v>
      </c>
      <c r="M201" s="73">
        <f t="shared" si="148"/>
        <v>0</v>
      </c>
      <c r="N201" s="54" t="s">
        <v>170</v>
      </c>
      <c r="O201" s="43" t="s">
        <v>149</v>
      </c>
    </row>
    <row r="202" spans="1:15" s="38" customFormat="1" ht="12" x14ac:dyDescent="0.2">
      <c r="A202" s="43">
        <v>152</v>
      </c>
      <c r="B202" s="61" t="s">
        <v>59</v>
      </c>
      <c r="C202" s="69">
        <f t="shared" si="134"/>
        <v>0</v>
      </c>
      <c r="D202" s="69">
        <v>0</v>
      </c>
      <c r="E202" s="69">
        <v>0</v>
      </c>
      <c r="F202" s="69">
        <v>0</v>
      </c>
      <c r="G202" s="85">
        <v>0</v>
      </c>
      <c r="H202" s="85">
        <v>0</v>
      </c>
      <c r="I202" s="77">
        <v>0</v>
      </c>
      <c r="J202" s="77">
        <v>0</v>
      </c>
      <c r="K202" s="77">
        <v>0</v>
      </c>
      <c r="L202" s="69">
        <v>0</v>
      </c>
      <c r="M202" s="69">
        <v>0</v>
      </c>
      <c r="N202" s="79"/>
      <c r="O202" s="43"/>
    </row>
    <row r="203" spans="1:15" s="38" customFormat="1" ht="12" x14ac:dyDescent="0.2">
      <c r="A203" s="43">
        <v>153</v>
      </c>
      <c r="B203" s="61" t="s">
        <v>10</v>
      </c>
      <c r="C203" s="69">
        <f t="shared" ref="C203:C205" si="149">SUM(D203:M203)</f>
        <v>69958000</v>
      </c>
      <c r="D203" s="69">
        <v>0</v>
      </c>
      <c r="E203" s="69">
        <v>0</v>
      </c>
      <c r="F203" s="69">
        <v>0</v>
      </c>
      <c r="G203" s="85">
        <v>0</v>
      </c>
      <c r="H203" s="85">
        <f>34800000</f>
        <v>34800000</v>
      </c>
      <c r="I203" s="77">
        <v>35158000</v>
      </c>
      <c r="J203" s="77">
        <v>0</v>
      </c>
      <c r="K203" s="77">
        <v>0</v>
      </c>
      <c r="L203" s="69">
        <v>0</v>
      </c>
      <c r="M203" s="69">
        <v>0</v>
      </c>
      <c r="N203" s="79"/>
      <c r="O203" s="43"/>
    </row>
    <row r="204" spans="1:15" s="38" customFormat="1" ht="12" x14ac:dyDescent="0.2">
      <c r="A204" s="43">
        <v>154</v>
      </c>
      <c r="B204" s="61" t="s">
        <v>11</v>
      </c>
      <c r="C204" s="69">
        <f t="shared" si="149"/>
        <v>1730288</v>
      </c>
      <c r="D204" s="69">
        <v>0</v>
      </c>
      <c r="E204" s="69">
        <v>0</v>
      </c>
      <c r="F204" s="69">
        <v>0</v>
      </c>
      <c r="G204" s="85">
        <v>0</v>
      </c>
      <c r="H204" s="85">
        <f>1775658.25+1775658.25+31961848.5-32779848.5-2018896.5</f>
        <v>714420</v>
      </c>
      <c r="I204" s="77">
        <f>355165+660703</f>
        <v>1015868</v>
      </c>
      <c r="J204" s="77">
        <v>0</v>
      </c>
      <c r="K204" s="77">
        <v>0</v>
      </c>
      <c r="L204" s="69">
        <v>0</v>
      </c>
      <c r="M204" s="69">
        <v>0</v>
      </c>
      <c r="N204" s="79"/>
      <c r="O204" s="43"/>
    </row>
    <row r="205" spans="1:15" s="38" customFormat="1" ht="12" x14ac:dyDescent="0.2">
      <c r="A205" s="43">
        <v>155</v>
      </c>
      <c r="B205" s="61" t="s">
        <v>12</v>
      </c>
      <c r="C205" s="69">
        <f t="shared" si="149"/>
        <v>0</v>
      </c>
      <c r="D205" s="69">
        <v>0</v>
      </c>
      <c r="E205" s="69">
        <v>0</v>
      </c>
      <c r="F205" s="69">
        <v>0</v>
      </c>
      <c r="G205" s="85">
        <v>0</v>
      </c>
      <c r="H205" s="85">
        <v>0</v>
      </c>
      <c r="I205" s="77">
        <v>0</v>
      </c>
      <c r="J205" s="77">
        <v>0</v>
      </c>
      <c r="K205" s="77">
        <v>0</v>
      </c>
      <c r="L205" s="69">
        <v>0</v>
      </c>
      <c r="M205" s="69">
        <v>0</v>
      </c>
      <c r="N205" s="79"/>
      <c r="O205" s="43"/>
    </row>
    <row r="206" spans="1:15" s="38" customFormat="1" ht="72" x14ac:dyDescent="0.2">
      <c r="A206" s="147"/>
      <c r="B206" s="164" t="s">
        <v>231</v>
      </c>
      <c r="C206" s="132">
        <f t="shared" ref="C206" si="150">SUM(D206:M206)</f>
        <v>0</v>
      </c>
      <c r="D206" s="69">
        <f>D207+D208+D209+D210</f>
        <v>0</v>
      </c>
      <c r="E206" s="69">
        <f t="shared" ref="E206:M206" si="151">E207+E208+E209+E210</f>
        <v>0</v>
      </c>
      <c r="F206" s="69">
        <f t="shared" si="151"/>
        <v>0</v>
      </c>
      <c r="G206" s="69">
        <f t="shared" si="151"/>
        <v>0</v>
      </c>
      <c r="H206" s="69">
        <f t="shared" si="151"/>
        <v>0</v>
      </c>
      <c r="I206" s="69">
        <f t="shared" si="151"/>
        <v>0</v>
      </c>
      <c r="J206" s="69">
        <f t="shared" si="151"/>
        <v>0</v>
      </c>
      <c r="K206" s="69">
        <f t="shared" si="151"/>
        <v>0</v>
      </c>
      <c r="L206" s="69">
        <f t="shared" si="151"/>
        <v>0</v>
      </c>
      <c r="M206" s="69">
        <f t="shared" si="151"/>
        <v>0</v>
      </c>
      <c r="N206" s="79"/>
      <c r="O206" s="147"/>
    </row>
    <row r="207" spans="1:15" s="38" customFormat="1" ht="12" x14ac:dyDescent="0.2">
      <c r="A207" s="147"/>
      <c r="B207" s="61" t="s">
        <v>59</v>
      </c>
      <c r="C207" s="69"/>
      <c r="D207" s="69"/>
      <c r="E207" s="69"/>
      <c r="F207" s="69"/>
      <c r="G207" s="85"/>
      <c r="H207" s="85"/>
      <c r="I207" s="77">
        <v>0</v>
      </c>
      <c r="J207" s="77">
        <v>0</v>
      </c>
      <c r="K207" s="77">
        <v>0</v>
      </c>
      <c r="L207" s="69"/>
      <c r="M207" s="69"/>
      <c r="N207" s="79"/>
      <c r="O207" s="147"/>
    </row>
    <row r="208" spans="1:15" s="38" customFormat="1" ht="12" x14ac:dyDescent="0.2">
      <c r="A208" s="147"/>
      <c r="B208" s="61" t="s">
        <v>10</v>
      </c>
      <c r="C208" s="69"/>
      <c r="D208" s="69"/>
      <c r="E208" s="69"/>
      <c r="F208" s="69"/>
      <c r="G208" s="85"/>
      <c r="H208" s="85"/>
      <c r="I208" s="77">
        <v>0</v>
      </c>
      <c r="J208" s="77">
        <v>0</v>
      </c>
      <c r="K208" s="77">
        <v>0</v>
      </c>
      <c r="L208" s="69"/>
      <c r="M208" s="69"/>
      <c r="N208" s="79"/>
      <c r="O208" s="147"/>
    </row>
    <row r="209" spans="1:15" s="38" customFormat="1" ht="12" x14ac:dyDescent="0.2">
      <c r="A209" s="147"/>
      <c r="B209" s="61" t="s">
        <v>11</v>
      </c>
      <c r="C209" s="69"/>
      <c r="D209" s="69"/>
      <c r="E209" s="69"/>
      <c r="F209" s="69"/>
      <c r="G209" s="85"/>
      <c r="H209" s="85"/>
      <c r="I209" s="77">
        <v>0</v>
      </c>
      <c r="J209" s="77">
        <v>0</v>
      </c>
      <c r="K209" s="77">
        <v>0</v>
      </c>
      <c r="L209" s="69"/>
      <c r="M209" s="69"/>
      <c r="N209" s="79"/>
      <c r="O209" s="147"/>
    </row>
    <row r="210" spans="1:15" s="38" customFormat="1" ht="12" x14ac:dyDescent="0.2">
      <c r="A210" s="147"/>
      <c r="B210" s="61" t="s">
        <v>12</v>
      </c>
      <c r="C210" s="69"/>
      <c r="D210" s="69"/>
      <c r="E210" s="69"/>
      <c r="F210" s="69"/>
      <c r="G210" s="85"/>
      <c r="H210" s="85"/>
      <c r="I210" s="77">
        <v>0</v>
      </c>
      <c r="J210" s="77">
        <v>0</v>
      </c>
      <c r="K210" s="77">
        <v>0</v>
      </c>
      <c r="L210" s="69"/>
      <c r="M210" s="69"/>
      <c r="N210" s="79"/>
      <c r="O210" s="147"/>
    </row>
    <row r="211" spans="1:15" s="38" customFormat="1" ht="27" customHeight="1" x14ac:dyDescent="0.2">
      <c r="A211" s="43">
        <v>156</v>
      </c>
      <c r="B211" s="231" t="s">
        <v>15</v>
      </c>
      <c r="C211" s="232"/>
      <c r="D211" s="232"/>
      <c r="E211" s="232"/>
      <c r="F211" s="232"/>
      <c r="G211" s="232"/>
      <c r="H211" s="232"/>
      <c r="I211" s="232"/>
      <c r="J211" s="232"/>
      <c r="K211" s="232"/>
      <c r="L211" s="232"/>
      <c r="M211" s="232"/>
      <c r="N211" s="233"/>
      <c r="O211" s="43"/>
    </row>
    <row r="212" spans="1:15" s="38" customFormat="1" ht="12" x14ac:dyDescent="0.2">
      <c r="A212" s="43">
        <v>157</v>
      </c>
      <c r="B212" s="57" t="s">
        <v>14</v>
      </c>
      <c r="C212" s="132">
        <f>SUM(D212:M212)</f>
        <v>531533053.69000006</v>
      </c>
      <c r="D212" s="68">
        <f>SUM(D213:D216)</f>
        <v>49659554.780000001</v>
      </c>
      <c r="E212" s="68">
        <f t="shared" ref="E212:I212" si="152">SUM(E213:E216)</f>
        <v>53959751.719999999</v>
      </c>
      <c r="F212" s="68">
        <f t="shared" si="152"/>
        <v>60535347.819999993</v>
      </c>
      <c r="G212" s="120">
        <f t="shared" si="152"/>
        <v>64409358.140000001</v>
      </c>
      <c r="H212" s="120">
        <f t="shared" si="152"/>
        <v>57357037.040000007</v>
      </c>
      <c r="I212" s="155">
        <f t="shared" si="152"/>
        <v>47669136.590000004</v>
      </c>
      <c r="J212" s="155">
        <f t="shared" ref="J212:M212" si="153">SUM(J213:J216)</f>
        <v>47450551.299999997</v>
      </c>
      <c r="K212" s="155">
        <f t="shared" si="153"/>
        <v>47692850.299999997</v>
      </c>
      <c r="L212" s="68">
        <f t="shared" si="153"/>
        <v>51399733</v>
      </c>
      <c r="M212" s="68">
        <f t="shared" si="153"/>
        <v>51399733</v>
      </c>
      <c r="N212" s="54"/>
      <c r="O212" s="43"/>
    </row>
    <row r="213" spans="1:15" s="38" customFormat="1" ht="12" x14ac:dyDescent="0.2">
      <c r="A213" s="43">
        <v>158</v>
      </c>
      <c r="B213" s="61" t="s">
        <v>59</v>
      </c>
      <c r="C213" s="69">
        <f>SUM(D213:M213)</f>
        <v>0</v>
      </c>
      <c r="D213" s="69">
        <v>0</v>
      </c>
      <c r="E213" s="69">
        <v>0</v>
      </c>
      <c r="F213" s="69">
        <v>0</v>
      </c>
      <c r="G213" s="85">
        <v>0</v>
      </c>
      <c r="H213" s="85">
        <v>0</v>
      </c>
      <c r="I213" s="77">
        <v>0</v>
      </c>
      <c r="J213" s="77">
        <v>0</v>
      </c>
      <c r="K213" s="77">
        <v>0</v>
      </c>
      <c r="L213" s="69">
        <v>0</v>
      </c>
      <c r="M213" s="69">
        <v>0</v>
      </c>
      <c r="N213" s="54"/>
      <c r="O213" s="43"/>
    </row>
    <row r="214" spans="1:15" s="38" customFormat="1" ht="12" x14ac:dyDescent="0.2">
      <c r="A214" s="43">
        <v>159</v>
      </c>
      <c r="B214" s="61" t="s">
        <v>10</v>
      </c>
      <c r="C214" s="69">
        <f>SUM(D214:M214)</f>
        <v>7729356</v>
      </c>
      <c r="D214" s="69">
        <f t="shared" ref="D214:I215" si="154">D238</f>
        <v>200000</v>
      </c>
      <c r="E214" s="69">
        <f t="shared" si="154"/>
        <v>84200</v>
      </c>
      <c r="F214" s="69">
        <f t="shared" si="154"/>
        <v>428156</v>
      </c>
      <c r="G214" s="85">
        <f t="shared" si="154"/>
        <v>0</v>
      </c>
      <c r="H214" s="85">
        <f t="shared" si="154"/>
        <v>7017000</v>
      </c>
      <c r="I214" s="77">
        <f t="shared" si="154"/>
        <v>0</v>
      </c>
      <c r="J214" s="77">
        <f t="shared" ref="J214:M214" si="155">J238</f>
        <v>0</v>
      </c>
      <c r="K214" s="77">
        <f t="shared" si="155"/>
        <v>0</v>
      </c>
      <c r="L214" s="69">
        <f t="shared" si="155"/>
        <v>0</v>
      </c>
      <c r="M214" s="69">
        <f t="shared" si="155"/>
        <v>0</v>
      </c>
      <c r="N214" s="54"/>
      <c r="O214" s="43"/>
    </row>
    <row r="215" spans="1:15" s="38" customFormat="1" ht="12" x14ac:dyDescent="0.2">
      <c r="A215" s="43">
        <v>160</v>
      </c>
      <c r="B215" s="61" t="s">
        <v>11</v>
      </c>
      <c r="C215" s="69">
        <f>SUM(D215:M215)</f>
        <v>459088470.42999995</v>
      </c>
      <c r="D215" s="69">
        <f>D239</f>
        <v>44267554.780000001</v>
      </c>
      <c r="E215" s="69">
        <f t="shared" si="154"/>
        <v>47042401.719999999</v>
      </c>
      <c r="F215" s="69">
        <f t="shared" si="154"/>
        <v>53358568.819999993</v>
      </c>
      <c r="G215" s="85">
        <f t="shared" si="154"/>
        <v>57526580.140000001</v>
      </c>
      <c r="H215" s="85">
        <f t="shared" si="154"/>
        <v>42643062.970000006</v>
      </c>
      <c r="I215" s="77">
        <f t="shared" si="154"/>
        <v>41063223</v>
      </c>
      <c r="J215" s="77">
        <f t="shared" ref="J215:M215" si="156">J239</f>
        <v>41955435</v>
      </c>
      <c r="K215" s="77">
        <f t="shared" si="156"/>
        <v>42197734</v>
      </c>
      <c r="L215" s="69">
        <f t="shared" si="156"/>
        <v>44516955</v>
      </c>
      <c r="M215" s="69">
        <f t="shared" si="156"/>
        <v>44516955</v>
      </c>
      <c r="N215" s="54"/>
      <c r="O215" s="43"/>
    </row>
    <row r="216" spans="1:15" s="38" customFormat="1" ht="12" x14ac:dyDescent="0.2">
      <c r="A216" s="43">
        <v>161</v>
      </c>
      <c r="B216" s="61" t="s">
        <v>12</v>
      </c>
      <c r="C216" s="69">
        <f>SUM(D216:M216)</f>
        <v>64715227.25999999</v>
      </c>
      <c r="D216" s="69">
        <f t="shared" ref="D216:I216" si="157">D240</f>
        <v>5192000</v>
      </c>
      <c r="E216" s="69">
        <f t="shared" si="157"/>
        <v>6833150</v>
      </c>
      <c r="F216" s="69">
        <f t="shared" si="157"/>
        <v>6748623</v>
      </c>
      <c r="G216" s="85">
        <f t="shared" si="157"/>
        <v>6882778</v>
      </c>
      <c r="H216" s="85">
        <f t="shared" si="157"/>
        <v>7696974.0700000003</v>
      </c>
      <c r="I216" s="77">
        <f t="shared" si="157"/>
        <v>6605913.5899999999</v>
      </c>
      <c r="J216" s="77">
        <f t="shared" ref="J216:M216" si="158">J240</f>
        <v>5495116.2999999998</v>
      </c>
      <c r="K216" s="77">
        <f t="shared" si="158"/>
        <v>5495116.2999999998</v>
      </c>
      <c r="L216" s="69">
        <f t="shared" si="158"/>
        <v>6882778</v>
      </c>
      <c r="M216" s="69">
        <f t="shared" si="158"/>
        <v>6882778</v>
      </c>
      <c r="N216" s="54"/>
      <c r="O216" s="43"/>
    </row>
    <row r="217" spans="1:15" s="38" customFormat="1" ht="12" x14ac:dyDescent="0.2">
      <c r="A217" s="43">
        <v>162</v>
      </c>
      <c r="B217" s="215" t="s">
        <v>60</v>
      </c>
      <c r="C217" s="216"/>
      <c r="D217" s="216"/>
      <c r="E217" s="216"/>
      <c r="F217" s="216"/>
      <c r="G217" s="216"/>
      <c r="H217" s="216"/>
      <c r="I217" s="216"/>
      <c r="J217" s="216"/>
      <c r="K217" s="216"/>
      <c r="L217" s="216"/>
      <c r="M217" s="216"/>
      <c r="N217" s="217"/>
      <c r="O217" s="43"/>
    </row>
    <row r="218" spans="1:15" s="38" customFormat="1" ht="36" x14ac:dyDescent="0.2">
      <c r="A218" s="43">
        <v>163</v>
      </c>
      <c r="B218" s="133" t="s">
        <v>62</v>
      </c>
      <c r="C218" s="85">
        <f>SUM(D218:M218)</f>
        <v>0</v>
      </c>
      <c r="D218" s="120">
        <f>SUM(D219:D222)</f>
        <v>0</v>
      </c>
      <c r="E218" s="120">
        <f t="shared" ref="E218:I218" si="159">SUM(E219:E222)</f>
        <v>0</v>
      </c>
      <c r="F218" s="120">
        <f t="shared" si="159"/>
        <v>0</v>
      </c>
      <c r="G218" s="120">
        <f t="shared" si="159"/>
        <v>0</v>
      </c>
      <c r="H218" s="120">
        <f t="shared" si="159"/>
        <v>0</v>
      </c>
      <c r="I218" s="155">
        <f t="shared" si="159"/>
        <v>0</v>
      </c>
      <c r="J218" s="155">
        <f t="shared" ref="J218:M218" si="160">SUM(J219:J222)</f>
        <v>0</v>
      </c>
      <c r="K218" s="155">
        <f t="shared" si="160"/>
        <v>0</v>
      </c>
      <c r="L218" s="120">
        <f t="shared" si="160"/>
        <v>0</v>
      </c>
      <c r="M218" s="120">
        <f t="shared" si="160"/>
        <v>0</v>
      </c>
      <c r="N218" s="134"/>
      <c r="O218" s="43"/>
    </row>
    <row r="219" spans="1:15" s="38" customFormat="1" ht="12" x14ac:dyDescent="0.2">
      <c r="A219" s="43">
        <v>164</v>
      </c>
      <c r="B219" s="126" t="s">
        <v>59</v>
      </c>
      <c r="C219" s="85">
        <f>SUM(D219:M219)</f>
        <v>0</v>
      </c>
      <c r="D219" s="85">
        <f>D225+D231</f>
        <v>0</v>
      </c>
      <c r="E219" s="85">
        <f t="shared" ref="E219:I219" si="161">E225+E231</f>
        <v>0</v>
      </c>
      <c r="F219" s="85">
        <f t="shared" si="161"/>
        <v>0</v>
      </c>
      <c r="G219" s="85">
        <f t="shared" si="161"/>
        <v>0</v>
      </c>
      <c r="H219" s="85">
        <f t="shared" si="161"/>
        <v>0</v>
      </c>
      <c r="I219" s="77">
        <f t="shared" si="161"/>
        <v>0</v>
      </c>
      <c r="J219" s="77">
        <f t="shared" ref="J219:M219" si="162">J225+J231</f>
        <v>0</v>
      </c>
      <c r="K219" s="77">
        <f t="shared" si="162"/>
        <v>0</v>
      </c>
      <c r="L219" s="85">
        <f t="shared" si="162"/>
        <v>0</v>
      </c>
      <c r="M219" s="85">
        <f t="shared" si="162"/>
        <v>0</v>
      </c>
      <c r="N219" s="134"/>
      <c r="O219" s="43"/>
    </row>
    <row r="220" spans="1:15" s="38" customFormat="1" ht="12" x14ac:dyDescent="0.2">
      <c r="A220" s="43">
        <v>165</v>
      </c>
      <c r="B220" s="135" t="s">
        <v>10</v>
      </c>
      <c r="C220" s="85">
        <f>SUM(D220:M220)</f>
        <v>0</v>
      </c>
      <c r="D220" s="85">
        <f t="shared" ref="D220:I222" si="163">D226+D232</f>
        <v>0</v>
      </c>
      <c r="E220" s="85">
        <f t="shared" si="163"/>
        <v>0</v>
      </c>
      <c r="F220" s="85">
        <f t="shared" si="163"/>
        <v>0</v>
      </c>
      <c r="G220" s="85">
        <f t="shared" si="163"/>
        <v>0</v>
      </c>
      <c r="H220" s="85">
        <f t="shared" si="163"/>
        <v>0</v>
      </c>
      <c r="I220" s="77">
        <f t="shared" si="163"/>
        <v>0</v>
      </c>
      <c r="J220" s="77">
        <f t="shared" ref="J220:M220" si="164">J226+J232</f>
        <v>0</v>
      </c>
      <c r="K220" s="77">
        <f t="shared" si="164"/>
        <v>0</v>
      </c>
      <c r="L220" s="85">
        <f t="shared" si="164"/>
        <v>0</v>
      </c>
      <c r="M220" s="85">
        <f t="shared" si="164"/>
        <v>0</v>
      </c>
      <c r="N220" s="134"/>
      <c r="O220" s="43"/>
    </row>
    <row r="221" spans="1:15" s="38" customFormat="1" ht="12" x14ac:dyDescent="0.2">
      <c r="A221" s="43">
        <v>166</v>
      </c>
      <c r="B221" s="135" t="s">
        <v>11</v>
      </c>
      <c r="C221" s="85">
        <f>SUM(D221:M221)</f>
        <v>0</v>
      </c>
      <c r="D221" s="85">
        <f t="shared" si="163"/>
        <v>0</v>
      </c>
      <c r="E221" s="85">
        <f t="shared" si="163"/>
        <v>0</v>
      </c>
      <c r="F221" s="85">
        <f t="shared" si="163"/>
        <v>0</v>
      </c>
      <c r="G221" s="85">
        <f t="shared" si="163"/>
        <v>0</v>
      </c>
      <c r="H221" s="85">
        <f t="shared" si="163"/>
        <v>0</v>
      </c>
      <c r="I221" s="77">
        <f t="shared" si="163"/>
        <v>0</v>
      </c>
      <c r="J221" s="77">
        <f t="shared" ref="J221:M221" si="165">J227+J233</f>
        <v>0</v>
      </c>
      <c r="K221" s="77">
        <f t="shared" si="165"/>
        <v>0</v>
      </c>
      <c r="L221" s="85">
        <f t="shared" si="165"/>
        <v>0</v>
      </c>
      <c r="M221" s="85">
        <f t="shared" si="165"/>
        <v>0</v>
      </c>
      <c r="N221" s="134"/>
      <c r="O221" s="43"/>
    </row>
    <row r="222" spans="1:15" s="38" customFormat="1" ht="12" x14ac:dyDescent="0.2">
      <c r="A222" s="43">
        <v>167</v>
      </c>
      <c r="B222" s="135" t="s">
        <v>12</v>
      </c>
      <c r="C222" s="85">
        <f>SUM(D222:M222)</f>
        <v>0</v>
      </c>
      <c r="D222" s="85">
        <f t="shared" si="163"/>
        <v>0</v>
      </c>
      <c r="E222" s="85">
        <f t="shared" si="163"/>
        <v>0</v>
      </c>
      <c r="F222" s="85">
        <f t="shared" si="163"/>
        <v>0</v>
      </c>
      <c r="G222" s="85">
        <f t="shared" si="163"/>
        <v>0</v>
      </c>
      <c r="H222" s="85">
        <f t="shared" si="163"/>
        <v>0</v>
      </c>
      <c r="I222" s="77">
        <f t="shared" si="163"/>
        <v>0</v>
      </c>
      <c r="J222" s="77">
        <f t="shared" ref="J222:M222" si="166">J228+J234</f>
        <v>0</v>
      </c>
      <c r="K222" s="77">
        <f t="shared" si="166"/>
        <v>0</v>
      </c>
      <c r="L222" s="85">
        <f t="shared" si="166"/>
        <v>0</v>
      </c>
      <c r="M222" s="85">
        <f t="shared" si="166"/>
        <v>0</v>
      </c>
      <c r="N222" s="134"/>
      <c r="O222" s="43"/>
    </row>
    <row r="223" spans="1:15" s="38" customFormat="1" ht="12" x14ac:dyDescent="0.2">
      <c r="A223" s="43">
        <v>168</v>
      </c>
      <c r="B223" s="239" t="s">
        <v>145</v>
      </c>
      <c r="C223" s="236"/>
      <c r="D223" s="236"/>
      <c r="E223" s="236"/>
      <c r="F223" s="236"/>
      <c r="G223" s="236"/>
      <c r="H223" s="236"/>
      <c r="I223" s="236"/>
      <c r="J223" s="236"/>
      <c r="K223" s="236"/>
      <c r="L223" s="236"/>
      <c r="M223" s="236"/>
      <c r="N223" s="237"/>
      <c r="O223" s="43"/>
    </row>
    <row r="224" spans="1:15" s="38" customFormat="1" ht="36" x14ac:dyDescent="0.2">
      <c r="A224" s="43">
        <v>169</v>
      </c>
      <c r="B224" s="136" t="s">
        <v>146</v>
      </c>
      <c r="C224" s="85">
        <f>SUM(D224:M224)</f>
        <v>0</v>
      </c>
      <c r="D224" s="120">
        <f>SUM(D225:D228)</f>
        <v>0</v>
      </c>
      <c r="E224" s="120">
        <f t="shared" ref="E224:I224" si="167">SUM(E225:E228)</f>
        <v>0</v>
      </c>
      <c r="F224" s="120">
        <f t="shared" si="167"/>
        <v>0</v>
      </c>
      <c r="G224" s="120">
        <f t="shared" si="167"/>
        <v>0</v>
      </c>
      <c r="H224" s="120">
        <f t="shared" si="167"/>
        <v>0</v>
      </c>
      <c r="I224" s="155">
        <f t="shared" si="167"/>
        <v>0</v>
      </c>
      <c r="J224" s="155">
        <f t="shared" ref="J224:M224" si="168">SUM(J225:J228)</f>
        <v>0</v>
      </c>
      <c r="K224" s="155">
        <f t="shared" si="168"/>
        <v>0</v>
      </c>
      <c r="L224" s="120">
        <f t="shared" si="168"/>
        <v>0</v>
      </c>
      <c r="M224" s="120">
        <f t="shared" si="168"/>
        <v>0</v>
      </c>
      <c r="N224" s="134"/>
      <c r="O224" s="43"/>
    </row>
    <row r="225" spans="1:15" s="38" customFormat="1" ht="12" x14ac:dyDescent="0.2">
      <c r="A225" s="43">
        <v>170</v>
      </c>
      <c r="B225" s="136" t="s">
        <v>59</v>
      </c>
      <c r="C225" s="85">
        <f>SUM(D225:M225)</f>
        <v>0</v>
      </c>
      <c r="D225" s="85">
        <v>0</v>
      </c>
      <c r="E225" s="85">
        <v>0</v>
      </c>
      <c r="F225" s="85">
        <v>0</v>
      </c>
      <c r="G225" s="85">
        <v>0</v>
      </c>
      <c r="H225" s="85">
        <v>0</v>
      </c>
      <c r="I225" s="77">
        <v>0</v>
      </c>
      <c r="J225" s="77">
        <v>0</v>
      </c>
      <c r="K225" s="77">
        <v>0</v>
      </c>
      <c r="L225" s="85">
        <v>0</v>
      </c>
      <c r="M225" s="85">
        <v>0</v>
      </c>
      <c r="N225" s="134"/>
      <c r="O225" s="43"/>
    </row>
    <row r="226" spans="1:15" s="38" customFormat="1" ht="12" x14ac:dyDescent="0.2">
      <c r="A226" s="43">
        <v>171</v>
      </c>
      <c r="B226" s="136" t="s">
        <v>10</v>
      </c>
      <c r="C226" s="85">
        <f>SUM(D226:M226)</f>
        <v>0</v>
      </c>
      <c r="D226" s="85">
        <v>0</v>
      </c>
      <c r="E226" s="85">
        <v>0</v>
      </c>
      <c r="F226" s="85">
        <v>0</v>
      </c>
      <c r="G226" s="85">
        <v>0</v>
      </c>
      <c r="H226" s="85">
        <v>0</v>
      </c>
      <c r="I226" s="77">
        <v>0</v>
      </c>
      <c r="J226" s="77">
        <v>0</v>
      </c>
      <c r="K226" s="77">
        <v>0</v>
      </c>
      <c r="L226" s="85">
        <v>0</v>
      </c>
      <c r="M226" s="85">
        <v>0</v>
      </c>
      <c r="N226" s="134"/>
      <c r="O226" s="43"/>
    </row>
    <row r="227" spans="1:15" s="38" customFormat="1" ht="12" x14ac:dyDescent="0.2">
      <c r="A227" s="43">
        <v>172</v>
      </c>
      <c r="B227" s="136" t="s">
        <v>11</v>
      </c>
      <c r="C227" s="85">
        <f>SUM(D227:M227)</f>
        <v>0</v>
      </c>
      <c r="D227" s="85">
        <v>0</v>
      </c>
      <c r="E227" s="85">
        <v>0</v>
      </c>
      <c r="F227" s="85">
        <v>0</v>
      </c>
      <c r="G227" s="85">
        <v>0</v>
      </c>
      <c r="H227" s="85">
        <v>0</v>
      </c>
      <c r="I227" s="77">
        <v>0</v>
      </c>
      <c r="J227" s="77">
        <v>0</v>
      </c>
      <c r="K227" s="77">
        <v>0</v>
      </c>
      <c r="L227" s="85">
        <v>0</v>
      </c>
      <c r="M227" s="85">
        <v>0</v>
      </c>
      <c r="N227" s="134"/>
      <c r="O227" s="43"/>
    </row>
    <row r="228" spans="1:15" s="38" customFormat="1" ht="12" x14ac:dyDescent="0.2">
      <c r="A228" s="43">
        <v>173</v>
      </c>
      <c r="B228" s="136" t="s">
        <v>12</v>
      </c>
      <c r="C228" s="85">
        <f>SUM(D228:M228)</f>
        <v>0</v>
      </c>
      <c r="D228" s="85">
        <v>0</v>
      </c>
      <c r="E228" s="85">
        <v>0</v>
      </c>
      <c r="F228" s="85">
        <v>0</v>
      </c>
      <c r="G228" s="85">
        <v>0</v>
      </c>
      <c r="H228" s="85">
        <v>0</v>
      </c>
      <c r="I228" s="77">
        <v>0</v>
      </c>
      <c r="J228" s="77">
        <v>0</v>
      </c>
      <c r="K228" s="77">
        <v>0</v>
      </c>
      <c r="L228" s="85">
        <v>0</v>
      </c>
      <c r="M228" s="85">
        <v>0</v>
      </c>
      <c r="N228" s="134"/>
      <c r="O228" s="43"/>
    </row>
    <row r="229" spans="1:15" s="38" customFormat="1" ht="12" x14ac:dyDescent="0.2">
      <c r="A229" s="43">
        <v>174</v>
      </c>
      <c r="B229" s="240" t="s">
        <v>151</v>
      </c>
      <c r="C229" s="241"/>
      <c r="D229" s="241"/>
      <c r="E229" s="241"/>
      <c r="F229" s="241"/>
      <c r="G229" s="241"/>
      <c r="H229" s="241"/>
      <c r="I229" s="241"/>
      <c r="J229" s="241"/>
      <c r="K229" s="241"/>
      <c r="L229" s="241"/>
      <c r="M229" s="241"/>
      <c r="N229" s="242"/>
      <c r="O229" s="43"/>
    </row>
    <row r="230" spans="1:15" s="38" customFormat="1" ht="24" x14ac:dyDescent="0.2">
      <c r="A230" s="43">
        <v>175</v>
      </c>
      <c r="B230" s="136" t="s">
        <v>152</v>
      </c>
      <c r="C230" s="85">
        <f>SUM(D230:M230)</f>
        <v>0</v>
      </c>
      <c r="D230" s="120">
        <f>SUM(D231:D234)</f>
        <v>0</v>
      </c>
      <c r="E230" s="120">
        <f t="shared" ref="E230:I230" si="169">SUM(E231:E234)</f>
        <v>0</v>
      </c>
      <c r="F230" s="120">
        <f t="shared" si="169"/>
        <v>0</v>
      </c>
      <c r="G230" s="120">
        <f t="shared" si="169"/>
        <v>0</v>
      </c>
      <c r="H230" s="120">
        <f t="shared" si="169"/>
        <v>0</v>
      </c>
      <c r="I230" s="155">
        <f t="shared" si="169"/>
        <v>0</v>
      </c>
      <c r="J230" s="155">
        <f t="shared" ref="J230:M230" si="170">SUM(J231:J234)</f>
        <v>0</v>
      </c>
      <c r="K230" s="155">
        <f t="shared" si="170"/>
        <v>0</v>
      </c>
      <c r="L230" s="120">
        <f t="shared" si="170"/>
        <v>0</v>
      </c>
      <c r="M230" s="120">
        <f t="shared" si="170"/>
        <v>0</v>
      </c>
      <c r="N230" s="134"/>
      <c r="O230" s="43"/>
    </row>
    <row r="231" spans="1:15" s="38" customFormat="1" ht="12" x14ac:dyDescent="0.2">
      <c r="A231" s="43">
        <v>176</v>
      </c>
      <c r="B231" s="136" t="s">
        <v>59</v>
      </c>
      <c r="C231" s="85">
        <f>SUM(D231:M231)</f>
        <v>0</v>
      </c>
      <c r="D231" s="85">
        <v>0</v>
      </c>
      <c r="E231" s="85">
        <v>0</v>
      </c>
      <c r="F231" s="85">
        <v>0</v>
      </c>
      <c r="G231" s="85">
        <v>0</v>
      </c>
      <c r="H231" s="85">
        <v>0</v>
      </c>
      <c r="I231" s="77">
        <v>0</v>
      </c>
      <c r="J231" s="77">
        <v>0</v>
      </c>
      <c r="K231" s="77">
        <v>0</v>
      </c>
      <c r="L231" s="85">
        <v>0</v>
      </c>
      <c r="M231" s="85">
        <v>0</v>
      </c>
      <c r="N231" s="134"/>
      <c r="O231" s="43"/>
    </row>
    <row r="232" spans="1:15" s="38" customFormat="1" ht="12" x14ac:dyDescent="0.2">
      <c r="A232" s="43">
        <v>177</v>
      </c>
      <c r="B232" s="136" t="s">
        <v>10</v>
      </c>
      <c r="C232" s="85">
        <f>SUM(D232:M232)</f>
        <v>0</v>
      </c>
      <c r="D232" s="85">
        <v>0</v>
      </c>
      <c r="E232" s="85">
        <v>0</v>
      </c>
      <c r="F232" s="85">
        <v>0</v>
      </c>
      <c r="G232" s="85">
        <v>0</v>
      </c>
      <c r="H232" s="85">
        <v>0</v>
      </c>
      <c r="I232" s="77">
        <v>0</v>
      </c>
      <c r="J232" s="77">
        <v>0</v>
      </c>
      <c r="K232" s="77">
        <v>0</v>
      </c>
      <c r="L232" s="85">
        <v>0</v>
      </c>
      <c r="M232" s="85">
        <v>0</v>
      </c>
      <c r="N232" s="134"/>
      <c r="O232" s="43"/>
    </row>
    <row r="233" spans="1:15" s="38" customFormat="1" ht="12" x14ac:dyDescent="0.2">
      <c r="A233" s="43">
        <v>178</v>
      </c>
      <c r="B233" s="136" t="s">
        <v>11</v>
      </c>
      <c r="C233" s="85">
        <f>SUM(D233:M233)</f>
        <v>0</v>
      </c>
      <c r="D233" s="85">
        <v>0</v>
      </c>
      <c r="E233" s="85">
        <v>0</v>
      </c>
      <c r="F233" s="85">
        <v>0</v>
      </c>
      <c r="G233" s="85">
        <v>0</v>
      </c>
      <c r="H233" s="85">
        <v>0</v>
      </c>
      <c r="I233" s="77">
        <v>0</v>
      </c>
      <c r="J233" s="77">
        <v>0</v>
      </c>
      <c r="K233" s="77">
        <v>0</v>
      </c>
      <c r="L233" s="85">
        <v>0</v>
      </c>
      <c r="M233" s="85">
        <v>0</v>
      </c>
      <c r="N233" s="134"/>
      <c r="O233" s="43"/>
    </row>
    <row r="234" spans="1:15" s="38" customFormat="1" ht="12" x14ac:dyDescent="0.2">
      <c r="A234" s="43">
        <v>179</v>
      </c>
      <c r="B234" s="136" t="s">
        <v>12</v>
      </c>
      <c r="C234" s="85">
        <f>SUM(D234:M234)</f>
        <v>0</v>
      </c>
      <c r="D234" s="85">
        <v>0</v>
      </c>
      <c r="E234" s="85">
        <v>0</v>
      </c>
      <c r="F234" s="85">
        <v>0</v>
      </c>
      <c r="G234" s="85">
        <v>0</v>
      </c>
      <c r="H234" s="85">
        <v>0</v>
      </c>
      <c r="I234" s="77">
        <v>0</v>
      </c>
      <c r="J234" s="77">
        <v>0</v>
      </c>
      <c r="K234" s="77">
        <v>0</v>
      </c>
      <c r="L234" s="85">
        <v>0</v>
      </c>
      <c r="M234" s="85">
        <v>0</v>
      </c>
      <c r="N234" s="134"/>
      <c r="O234" s="43"/>
    </row>
    <row r="235" spans="1:15" s="38" customFormat="1" ht="12" x14ac:dyDescent="0.2">
      <c r="A235" s="43">
        <v>180</v>
      </c>
      <c r="B235" s="224" t="s">
        <v>22</v>
      </c>
      <c r="C235" s="224"/>
      <c r="D235" s="224"/>
      <c r="E235" s="224"/>
      <c r="F235" s="224"/>
      <c r="G235" s="224"/>
      <c r="H235" s="224"/>
      <c r="I235" s="224"/>
      <c r="J235" s="224"/>
      <c r="K235" s="224"/>
      <c r="L235" s="224"/>
      <c r="M235" s="224"/>
      <c r="N235" s="224"/>
      <c r="O235" s="43"/>
    </row>
    <row r="236" spans="1:15" s="38" customFormat="1" ht="24" x14ac:dyDescent="0.2">
      <c r="A236" s="43">
        <v>181</v>
      </c>
      <c r="B236" s="57" t="s">
        <v>23</v>
      </c>
      <c r="C236" s="138">
        <f t="shared" ref="C236:C267" si="171">SUM(D236:M236)</f>
        <v>531533053.69000006</v>
      </c>
      <c r="D236" s="68">
        <f>SUM(D237:D240)</f>
        <v>49659554.780000001</v>
      </c>
      <c r="E236" s="68">
        <f t="shared" ref="E236:I236" si="172">SUM(E237:E240)</f>
        <v>53959751.719999999</v>
      </c>
      <c r="F236" s="68">
        <f t="shared" si="172"/>
        <v>60535347.819999993</v>
      </c>
      <c r="G236" s="120">
        <f t="shared" si="172"/>
        <v>64409358.140000001</v>
      </c>
      <c r="H236" s="120">
        <f t="shared" si="172"/>
        <v>57357037.040000007</v>
      </c>
      <c r="I236" s="155">
        <f t="shared" si="172"/>
        <v>47669136.590000004</v>
      </c>
      <c r="J236" s="155">
        <f t="shared" ref="J236:M236" si="173">SUM(J237:J240)</f>
        <v>47450551.299999997</v>
      </c>
      <c r="K236" s="155">
        <f t="shared" si="173"/>
        <v>47692850.299999997</v>
      </c>
      <c r="L236" s="68">
        <f t="shared" si="173"/>
        <v>51399733</v>
      </c>
      <c r="M236" s="68">
        <f t="shared" si="173"/>
        <v>51399733</v>
      </c>
      <c r="N236" s="54"/>
      <c r="O236" s="43"/>
    </row>
    <row r="237" spans="1:15" s="38" customFormat="1" ht="12" x14ac:dyDescent="0.2">
      <c r="A237" s="43">
        <v>182</v>
      </c>
      <c r="B237" s="61" t="s">
        <v>59</v>
      </c>
      <c r="C237" s="69">
        <f t="shared" si="171"/>
        <v>0</v>
      </c>
      <c r="D237" s="69">
        <f>D242+D252+D273+D290+D295</f>
        <v>0</v>
      </c>
      <c r="E237" s="69">
        <f t="shared" ref="E237:K240" si="174">E242+E252+E273+E290+E295</f>
        <v>0</v>
      </c>
      <c r="F237" s="69">
        <f>F242+F252+F273+F290+F295</f>
        <v>0</v>
      </c>
      <c r="G237" s="85">
        <f t="shared" si="174"/>
        <v>0</v>
      </c>
      <c r="H237" s="85">
        <f>H242+H252+H273+H290+H295</f>
        <v>0</v>
      </c>
      <c r="I237" s="77">
        <f t="shared" si="174"/>
        <v>0</v>
      </c>
      <c r="J237" s="77">
        <f t="shared" ref="J237:M237" si="175">J242+J252+J273+J290+J295</f>
        <v>0</v>
      </c>
      <c r="K237" s="77">
        <f t="shared" si="175"/>
        <v>0</v>
      </c>
      <c r="L237" s="69">
        <f t="shared" si="175"/>
        <v>0</v>
      </c>
      <c r="M237" s="69">
        <f t="shared" si="175"/>
        <v>0</v>
      </c>
      <c r="N237" s="54"/>
      <c r="O237" s="43"/>
    </row>
    <row r="238" spans="1:15" s="38" customFormat="1" ht="12" x14ac:dyDescent="0.2">
      <c r="A238" s="43">
        <v>183</v>
      </c>
      <c r="B238" s="61" t="s">
        <v>10</v>
      </c>
      <c r="C238" s="69">
        <f t="shared" si="171"/>
        <v>7729356</v>
      </c>
      <c r="D238" s="69">
        <f>D243+D253+D274+D291+D296</f>
        <v>200000</v>
      </c>
      <c r="E238" s="69">
        <f t="shared" si="174"/>
        <v>84200</v>
      </c>
      <c r="F238" s="69">
        <f>F243+F253+F274+F291+F296+F301</f>
        <v>428156</v>
      </c>
      <c r="G238" s="85">
        <f t="shared" si="174"/>
        <v>0</v>
      </c>
      <c r="H238" s="85">
        <f>H243+H253+H274+H291+H296</f>
        <v>7017000</v>
      </c>
      <c r="I238" s="77">
        <f t="shared" si="174"/>
        <v>0</v>
      </c>
      <c r="J238" s="77">
        <f t="shared" ref="J238:M238" si="176">J243+J253+J274+J291+J296</f>
        <v>0</v>
      </c>
      <c r="K238" s="77">
        <f t="shared" si="176"/>
        <v>0</v>
      </c>
      <c r="L238" s="69">
        <f t="shared" si="176"/>
        <v>0</v>
      </c>
      <c r="M238" s="69">
        <f t="shared" si="176"/>
        <v>0</v>
      </c>
      <c r="N238" s="54"/>
      <c r="O238" s="43"/>
    </row>
    <row r="239" spans="1:15" s="38" customFormat="1" ht="12" x14ac:dyDescent="0.2">
      <c r="A239" s="43">
        <v>184</v>
      </c>
      <c r="B239" s="61" t="s">
        <v>11</v>
      </c>
      <c r="C239" s="69">
        <f t="shared" si="171"/>
        <v>459088470.42999995</v>
      </c>
      <c r="D239" s="69">
        <f>D244+D254+D275+D292+D297</f>
        <v>44267554.780000001</v>
      </c>
      <c r="E239" s="69">
        <f t="shared" si="174"/>
        <v>47042401.719999999</v>
      </c>
      <c r="F239" s="69">
        <f>F244+F254+F275+F292+F297+F302</f>
        <v>53358568.819999993</v>
      </c>
      <c r="G239" s="85">
        <f t="shared" si="174"/>
        <v>57526580.140000001</v>
      </c>
      <c r="H239" s="85">
        <f>H244+H254+H275+H292+H297</f>
        <v>42643062.970000006</v>
      </c>
      <c r="I239" s="77">
        <f>I244+I254+I275+I292+I297+I302+I307</f>
        <v>41063223</v>
      </c>
      <c r="J239" s="77">
        <f>J244+J254+J275+J292+J297+J302+J307</f>
        <v>41955435</v>
      </c>
      <c r="K239" s="77">
        <f>K244+K254+K275+K292+K297+K302+K307</f>
        <v>42197734</v>
      </c>
      <c r="L239" s="69">
        <f t="shared" ref="L239:M239" si="177">L244+L254+L275+L292+L297</f>
        <v>44516955</v>
      </c>
      <c r="M239" s="69">
        <f t="shared" si="177"/>
        <v>44516955</v>
      </c>
      <c r="N239" s="54"/>
      <c r="O239" s="43"/>
    </row>
    <row r="240" spans="1:15" s="38" customFormat="1" ht="12" x14ac:dyDescent="0.2">
      <c r="A240" s="43">
        <v>185</v>
      </c>
      <c r="B240" s="61" t="s">
        <v>12</v>
      </c>
      <c r="C240" s="69">
        <f t="shared" si="171"/>
        <v>64715227.25999999</v>
      </c>
      <c r="D240" s="69">
        <f>D245+D255+D276+D293+D298</f>
        <v>5192000</v>
      </c>
      <c r="E240" s="69">
        <f t="shared" si="174"/>
        <v>6833150</v>
      </c>
      <c r="F240" s="69">
        <f>F245+F255+F276+F293+F298+F303</f>
        <v>6748623</v>
      </c>
      <c r="G240" s="85">
        <f t="shared" si="174"/>
        <v>6882778</v>
      </c>
      <c r="H240" s="85">
        <f>H245+H255+H276+H293+H298</f>
        <v>7696974.0700000003</v>
      </c>
      <c r="I240" s="77">
        <f t="shared" si="174"/>
        <v>6605913.5899999999</v>
      </c>
      <c r="J240" s="77">
        <f t="shared" si="174"/>
        <v>5495116.2999999998</v>
      </c>
      <c r="K240" s="77">
        <f t="shared" si="174"/>
        <v>5495116.2999999998</v>
      </c>
      <c r="L240" s="69">
        <f t="shared" ref="L240:M240" si="178">L245+L255+L276+L293+L298</f>
        <v>6882778</v>
      </c>
      <c r="M240" s="69">
        <f t="shared" si="178"/>
        <v>6882778</v>
      </c>
      <c r="N240" s="54"/>
      <c r="O240" s="43"/>
    </row>
    <row r="241" spans="1:15" s="38" customFormat="1" ht="60" x14ac:dyDescent="0.2">
      <c r="A241" s="43">
        <v>186</v>
      </c>
      <c r="B241" s="65" t="s">
        <v>230</v>
      </c>
      <c r="C241" s="132">
        <f t="shared" si="171"/>
        <v>513540393.5</v>
      </c>
      <c r="D241" s="73">
        <f t="shared" ref="D241:I241" si="179">SUM(D243:D245)</f>
        <v>48972554.780000001</v>
      </c>
      <c r="E241" s="73">
        <f t="shared" si="179"/>
        <v>53206078.719999999</v>
      </c>
      <c r="F241" s="73">
        <f t="shared" si="179"/>
        <v>59084810.269999996</v>
      </c>
      <c r="G241" s="122">
        <f t="shared" si="179"/>
        <v>62070077.759999998</v>
      </c>
      <c r="H241" s="122">
        <f t="shared" si="179"/>
        <v>47988765.780000001</v>
      </c>
      <c r="I241" s="156">
        <f t="shared" si="179"/>
        <v>46612478.590000004</v>
      </c>
      <c r="J241" s="156">
        <f t="shared" ref="J241:M241" si="180">SUM(J243:J245)</f>
        <v>46381931.299999997</v>
      </c>
      <c r="K241" s="156">
        <f t="shared" si="180"/>
        <v>46644230.299999997</v>
      </c>
      <c r="L241" s="73">
        <f t="shared" si="180"/>
        <v>51289733</v>
      </c>
      <c r="M241" s="73">
        <f t="shared" si="180"/>
        <v>51289733</v>
      </c>
      <c r="N241" s="84" t="s">
        <v>172</v>
      </c>
      <c r="O241" s="43" t="s">
        <v>149</v>
      </c>
    </row>
    <row r="242" spans="1:15" s="38" customFormat="1" ht="12" x14ac:dyDescent="0.2">
      <c r="A242" s="43">
        <v>187</v>
      </c>
      <c r="B242" s="61" t="s">
        <v>59</v>
      </c>
      <c r="C242" s="69">
        <f t="shared" si="171"/>
        <v>0</v>
      </c>
      <c r="D242" s="69">
        <v>0</v>
      </c>
      <c r="E242" s="69">
        <v>0</v>
      </c>
      <c r="F242" s="69">
        <v>0</v>
      </c>
      <c r="G242" s="85">
        <v>0</v>
      </c>
      <c r="H242" s="85">
        <v>0</v>
      </c>
      <c r="I242" s="77">
        <v>0</v>
      </c>
      <c r="J242" s="77">
        <v>0</v>
      </c>
      <c r="K242" s="77">
        <v>0</v>
      </c>
      <c r="L242" s="69">
        <v>0</v>
      </c>
      <c r="M242" s="69">
        <v>0</v>
      </c>
      <c r="N242" s="54"/>
      <c r="O242" s="43"/>
    </row>
    <row r="243" spans="1:15" s="38" customFormat="1" ht="12" x14ac:dyDescent="0.2">
      <c r="A243" s="43">
        <v>188</v>
      </c>
      <c r="B243" s="61" t="s">
        <v>10</v>
      </c>
      <c r="C243" s="69">
        <f t="shared" si="171"/>
        <v>0</v>
      </c>
      <c r="D243" s="69">
        <v>0</v>
      </c>
      <c r="E243" s="69">
        <v>0</v>
      </c>
      <c r="F243" s="69">
        <v>0</v>
      </c>
      <c r="G243" s="85">
        <v>0</v>
      </c>
      <c r="H243" s="85">
        <v>0</v>
      </c>
      <c r="I243" s="77">
        <v>0</v>
      </c>
      <c r="J243" s="77">
        <v>0</v>
      </c>
      <c r="K243" s="77">
        <v>0</v>
      </c>
      <c r="L243" s="69">
        <v>0</v>
      </c>
      <c r="M243" s="69">
        <v>0</v>
      </c>
      <c r="N243" s="54"/>
      <c r="O243" s="43"/>
    </row>
    <row r="244" spans="1:15" s="38" customFormat="1" ht="12" x14ac:dyDescent="0.2">
      <c r="A244" s="43">
        <v>189</v>
      </c>
      <c r="B244" s="61" t="s">
        <v>11</v>
      </c>
      <c r="C244" s="69">
        <f t="shared" si="171"/>
        <v>453527654.93999994</v>
      </c>
      <c r="D244" s="69">
        <f>38509151+D249+5736922.28-569149</f>
        <v>44207554.780000001</v>
      </c>
      <c r="E244" s="69">
        <f>38509151+E249-2422000+2988329+3601446+1000000+2608357</f>
        <v>46787928.719999999</v>
      </c>
      <c r="F244" s="69">
        <f>38509151-2197000+12545200+417491.51+59593.84+54451.91+134961.01+2940786</f>
        <v>52464635.269999996</v>
      </c>
      <c r="G244" s="85">
        <f>42467256+4828801-28661969+855973.86+22539850.18+1917160.29+11240227.43</f>
        <v>55187299.759999998</v>
      </c>
      <c r="H244" s="85">
        <f>42467256+4828802-32553685-5999630.38+28793859-147030.27+4156627.06</f>
        <v>41546198.410000004</v>
      </c>
      <c r="I244" s="77">
        <v>40646959</v>
      </c>
      <c r="J244" s="77">
        <v>41805435</v>
      </c>
      <c r="K244" s="77">
        <v>42067734</v>
      </c>
      <c r="L244" s="69">
        <f>42467256+1939699</f>
        <v>44406955</v>
      </c>
      <c r="M244" s="69">
        <f>42467256+1939699</f>
        <v>44406955</v>
      </c>
      <c r="N244" s="54"/>
      <c r="O244" s="43"/>
    </row>
    <row r="245" spans="1:15" s="38" customFormat="1" ht="12" x14ac:dyDescent="0.2">
      <c r="A245" s="43">
        <v>190</v>
      </c>
      <c r="B245" s="61" t="s">
        <v>12</v>
      </c>
      <c r="C245" s="69">
        <f t="shared" si="171"/>
        <v>60012738.559999995</v>
      </c>
      <c r="D245" s="69">
        <v>4765000</v>
      </c>
      <c r="E245" s="69">
        <f>5000000+1418150</f>
        <v>6418150</v>
      </c>
      <c r="F245" s="69">
        <f>5250000+1370175</f>
        <v>6620175</v>
      </c>
      <c r="G245" s="85">
        <f>5250000+1370175+262603</f>
        <v>6882778</v>
      </c>
      <c r="H245" s="85">
        <f>5250000+1370175+262603+814196.07-57384-1197022.7</f>
        <v>6442567.3700000001</v>
      </c>
      <c r="I245" s="77">
        <v>5965519.5899999999</v>
      </c>
      <c r="J245" s="77">
        <v>4576496.3</v>
      </c>
      <c r="K245" s="77">
        <v>4576496.3</v>
      </c>
      <c r="L245" s="69">
        <f>5250000+1632778</f>
        <v>6882778</v>
      </c>
      <c r="M245" s="69">
        <f>5250000+1632778</f>
        <v>6882778</v>
      </c>
      <c r="N245" s="54"/>
      <c r="O245" s="43"/>
    </row>
    <row r="246" spans="1:15" s="38" customFormat="1" ht="72" x14ac:dyDescent="0.2">
      <c r="A246" s="43">
        <v>191</v>
      </c>
      <c r="B246" s="65" t="s">
        <v>232</v>
      </c>
      <c r="C246" s="69">
        <f t="shared" si="171"/>
        <v>5591489.4900000002</v>
      </c>
      <c r="D246" s="73">
        <f>SUM(D247:D250)</f>
        <v>530630.5</v>
      </c>
      <c r="E246" s="73">
        <f t="shared" ref="E246:I246" si="181">SUM(E247:E250)</f>
        <v>502645.72</v>
      </c>
      <c r="F246" s="73">
        <f t="shared" si="181"/>
        <v>666498.27</v>
      </c>
      <c r="G246" s="122">
        <f t="shared" si="181"/>
        <v>3891715</v>
      </c>
      <c r="H246" s="122">
        <f t="shared" si="181"/>
        <v>0</v>
      </c>
      <c r="I246" s="156">
        <f t="shared" si="181"/>
        <v>0</v>
      </c>
      <c r="J246" s="156">
        <f t="shared" ref="J246:M246" si="182">SUM(J247:J250)</f>
        <v>0</v>
      </c>
      <c r="K246" s="156">
        <f t="shared" si="182"/>
        <v>0</v>
      </c>
      <c r="L246" s="73">
        <f t="shared" si="182"/>
        <v>0</v>
      </c>
      <c r="M246" s="73">
        <f t="shared" si="182"/>
        <v>0</v>
      </c>
      <c r="N246" s="84" t="s">
        <v>172</v>
      </c>
      <c r="O246" s="43" t="s">
        <v>149</v>
      </c>
    </row>
    <row r="247" spans="1:15" s="38" customFormat="1" ht="12" x14ac:dyDescent="0.2">
      <c r="A247" s="43">
        <v>192</v>
      </c>
      <c r="B247" s="61" t="s">
        <v>59</v>
      </c>
      <c r="C247" s="69">
        <f t="shared" si="171"/>
        <v>0</v>
      </c>
      <c r="D247" s="69">
        <v>0</v>
      </c>
      <c r="E247" s="69">
        <v>0</v>
      </c>
      <c r="F247" s="69">
        <v>0</v>
      </c>
      <c r="G247" s="85">
        <v>0</v>
      </c>
      <c r="H247" s="85">
        <v>0</v>
      </c>
      <c r="I247" s="77">
        <v>0</v>
      </c>
      <c r="J247" s="77">
        <v>0</v>
      </c>
      <c r="K247" s="77">
        <v>0</v>
      </c>
      <c r="L247" s="69">
        <v>0</v>
      </c>
      <c r="M247" s="69">
        <v>0</v>
      </c>
      <c r="N247" s="74"/>
      <c r="O247" s="43"/>
    </row>
    <row r="248" spans="1:15" s="38" customFormat="1" ht="12" x14ac:dyDescent="0.2">
      <c r="A248" s="43">
        <v>193</v>
      </c>
      <c r="B248" s="61" t="s">
        <v>10</v>
      </c>
      <c r="C248" s="69">
        <f t="shared" si="171"/>
        <v>0</v>
      </c>
      <c r="D248" s="69">
        <v>0</v>
      </c>
      <c r="E248" s="69">
        <v>0</v>
      </c>
      <c r="F248" s="69">
        <v>0</v>
      </c>
      <c r="G248" s="85">
        <v>0</v>
      </c>
      <c r="H248" s="85">
        <v>0</v>
      </c>
      <c r="I248" s="77">
        <v>0</v>
      </c>
      <c r="J248" s="77">
        <v>0</v>
      </c>
      <c r="K248" s="77">
        <v>0</v>
      </c>
      <c r="L248" s="69">
        <v>0</v>
      </c>
      <c r="M248" s="69">
        <v>0</v>
      </c>
      <c r="N248" s="54"/>
      <c r="O248" s="43"/>
    </row>
    <row r="249" spans="1:15" s="38" customFormat="1" ht="12" x14ac:dyDescent="0.2">
      <c r="A249" s="43">
        <v>194</v>
      </c>
      <c r="B249" s="61" t="s">
        <v>11</v>
      </c>
      <c r="C249" s="69">
        <f t="shared" si="171"/>
        <v>5591489.4900000002</v>
      </c>
      <c r="D249" s="69">
        <f>539622.5-8992</f>
        <v>530630.5</v>
      </c>
      <c r="E249" s="69">
        <v>502645.72</v>
      </c>
      <c r="F249" s="69">
        <f>417491.51+59593.84+54451.91+134961.01</f>
        <v>666498.27</v>
      </c>
      <c r="G249" s="85">
        <v>3891715</v>
      </c>
      <c r="H249" s="85">
        <v>0</v>
      </c>
      <c r="I249" s="77">
        <v>0</v>
      </c>
      <c r="J249" s="77">
        <v>0</v>
      </c>
      <c r="K249" s="77">
        <v>0</v>
      </c>
      <c r="L249" s="69">
        <v>0</v>
      </c>
      <c r="M249" s="69">
        <v>0</v>
      </c>
      <c r="N249" s="54"/>
      <c r="O249" s="43"/>
    </row>
    <row r="250" spans="1:15" s="38" customFormat="1" ht="12" x14ac:dyDescent="0.2">
      <c r="A250" s="43">
        <v>195</v>
      </c>
      <c r="B250" s="61" t="s">
        <v>12</v>
      </c>
      <c r="C250" s="69">
        <f t="shared" si="171"/>
        <v>0</v>
      </c>
      <c r="D250" s="69"/>
      <c r="E250" s="69"/>
      <c r="F250" s="69"/>
      <c r="G250" s="85"/>
      <c r="H250" s="85"/>
      <c r="I250" s="77"/>
      <c r="J250" s="77"/>
      <c r="K250" s="77"/>
      <c r="L250" s="69"/>
      <c r="M250" s="69"/>
      <c r="N250" s="54"/>
      <c r="O250" s="43"/>
    </row>
    <row r="251" spans="1:15" s="38" customFormat="1" ht="72" x14ac:dyDescent="0.2">
      <c r="A251" s="43">
        <v>196</v>
      </c>
      <c r="B251" s="65" t="s">
        <v>229</v>
      </c>
      <c r="C251" s="132">
        <f t="shared" si="171"/>
        <v>1314737.22</v>
      </c>
      <c r="D251" s="68">
        <f>SUM(D252:D255)</f>
        <v>187000</v>
      </c>
      <c r="E251" s="68">
        <f t="shared" ref="E251:I251" si="183">SUM(E252:E255)</f>
        <v>215000</v>
      </c>
      <c r="F251" s="68">
        <f t="shared" si="183"/>
        <v>122737.22</v>
      </c>
      <c r="G251" s="120">
        <f t="shared" si="183"/>
        <v>110000</v>
      </c>
      <c r="H251" s="120">
        <f t="shared" si="183"/>
        <v>90000</v>
      </c>
      <c r="I251" s="155">
        <f t="shared" si="183"/>
        <v>90000</v>
      </c>
      <c r="J251" s="155">
        <f t="shared" ref="J251:M251" si="184">SUM(J252:J255)</f>
        <v>150000</v>
      </c>
      <c r="K251" s="155">
        <f t="shared" si="184"/>
        <v>130000</v>
      </c>
      <c r="L251" s="68">
        <f t="shared" si="184"/>
        <v>110000</v>
      </c>
      <c r="M251" s="68">
        <f t="shared" si="184"/>
        <v>110000</v>
      </c>
      <c r="N251" s="84" t="s">
        <v>175</v>
      </c>
      <c r="O251" s="43" t="s">
        <v>149</v>
      </c>
    </row>
    <row r="252" spans="1:15" s="38" customFormat="1" ht="12" x14ac:dyDescent="0.2">
      <c r="A252" s="43">
        <v>197</v>
      </c>
      <c r="B252" s="61" t="s">
        <v>59</v>
      </c>
      <c r="C252" s="69">
        <f t="shared" si="171"/>
        <v>0</v>
      </c>
      <c r="D252" s="69">
        <v>0</v>
      </c>
      <c r="E252" s="69">
        <v>0</v>
      </c>
      <c r="F252" s="69">
        <v>0</v>
      </c>
      <c r="G252" s="85">
        <v>0</v>
      </c>
      <c r="H252" s="85">
        <v>0</v>
      </c>
      <c r="I252" s="77">
        <v>0</v>
      </c>
      <c r="J252" s="77">
        <v>0</v>
      </c>
      <c r="K252" s="77">
        <v>0</v>
      </c>
      <c r="L252" s="69">
        <v>0</v>
      </c>
      <c r="M252" s="69">
        <v>0</v>
      </c>
      <c r="N252" s="86"/>
      <c r="O252" s="43"/>
    </row>
    <row r="253" spans="1:15" s="38" customFormat="1" ht="12" x14ac:dyDescent="0.2">
      <c r="A253" s="43">
        <v>198</v>
      </c>
      <c r="B253" s="61" t="s">
        <v>10</v>
      </c>
      <c r="C253" s="69">
        <f t="shared" si="171"/>
        <v>0</v>
      </c>
      <c r="D253" s="69">
        <v>0</v>
      </c>
      <c r="E253" s="69">
        <v>0</v>
      </c>
      <c r="F253" s="69">
        <v>0</v>
      </c>
      <c r="G253" s="85">
        <v>0</v>
      </c>
      <c r="H253" s="85">
        <v>0</v>
      </c>
      <c r="I253" s="77">
        <v>0</v>
      </c>
      <c r="J253" s="77">
        <v>0</v>
      </c>
      <c r="K253" s="77">
        <v>0</v>
      </c>
      <c r="L253" s="69">
        <v>0</v>
      </c>
      <c r="M253" s="69">
        <v>0</v>
      </c>
      <c r="N253" s="54"/>
      <c r="O253" s="43"/>
    </row>
    <row r="254" spans="1:15" s="38" customFormat="1" ht="12" x14ac:dyDescent="0.2">
      <c r="A254" s="43">
        <v>199</v>
      </c>
      <c r="B254" s="61" t="s">
        <v>11</v>
      </c>
      <c r="C254" s="69">
        <f t="shared" si="171"/>
        <v>1072737.22</v>
      </c>
      <c r="D254" s="69">
        <f>210000-150000</f>
        <v>60000</v>
      </c>
      <c r="E254" s="69">
        <f>70000+60000-30000</f>
        <v>100000</v>
      </c>
      <c r="F254" s="69">
        <f>70000+80000-27262.78</f>
        <v>122737.22</v>
      </c>
      <c r="G254" s="85">
        <f>200000-40000-50000</f>
        <v>110000</v>
      </c>
      <c r="H254" s="85">
        <f>330000-210000-10000-20000</f>
        <v>90000</v>
      </c>
      <c r="I254" s="77">
        <v>90000</v>
      </c>
      <c r="J254" s="77">
        <v>150000</v>
      </c>
      <c r="K254" s="77">
        <v>130000</v>
      </c>
      <c r="L254" s="69">
        <f>240000-130000</f>
        <v>110000</v>
      </c>
      <c r="M254" s="69">
        <f>240000-130000</f>
        <v>110000</v>
      </c>
      <c r="N254" s="54"/>
      <c r="O254" s="43"/>
    </row>
    <row r="255" spans="1:15" s="38" customFormat="1" ht="12" x14ac:dyDescent="0.2">
      <c r="A255" s="43">
        <v>200</v>
      </c>
      <c r="B255" s="61" t="s">
        <v>12</v>
      </c>
      <c r="C255" s="69">
        <f t="shared" si="171"/>
        <v>242000</v>
      </c>
      <c r="D255" s="69">
        <v>127000</v>
      </c>
      <c r="E255" s="69">
        <v>115000</v>
      </c>
      <c r="F255" s="69">
        <f>170000-170000</f>
        <v>0</v>
      </c>
      <c r="G255" s="85">
        <f>135000-135000</f>
        <v>0</v>
      </c>
      <c r="H255" s="85">
        <f>190000-190000</f>
        <v>0</v>
      </c>
      <c r="I255" s="77">
        <f>150000-150000</f>
        <v>0</v>
      </c>
      <c r="J255" s="77">
        <f>150000-150000</f>
        <v>0</v>
      </c>
      <c r="K255" s="77">
        <f>150000-150000</f>
        <v>0</v>
      </c>
      <c r="L255" s="69">
        <f>150000-150000</f>
        <v>0</v>
      </c>
      <c r="M255" s="69">
        <f>150000-150000</f>
        <v>0</v>
      </c>
      <c r="N255" s="54"/>
      <c r="O255" s="43"/>
    </row>
    <row r="256" spans="1:15" s="38" customFormat="1" ht="72" x14ac:dyDescent="0.2">
      <c r="A256" s="43">
        <v>201</v>
      </c>
      <c r="B256" s="61" t="s">
        <v>34</v>
      </c>
      <c r="C256" s="69">
        <f t="shared" si="171"/>
        <v>490</v>
      </c>
      <c r="D256" s="87">
        <f t="shared" ref="D256:I256" si="185">SUM(D257:D259)</f>
        <v>70</v>
      </c>
      <c r="E256" s="87">
        <f t="shared" si="185"/>
        <v>80</v>
      </c>
      <c r="F256" s="87">
        <f t="shared" si="185"/>
        <v>110</v>
      </c>
      <c r="G256" s="125">
        <f t="shared" si="185"/>
        <v>110</v>
      </c>
      <c r="H256" s="127">
        <f t="shared" si="185"/>
        <v>120</v>
      </c>
      <c r="I256" s="159">
        <f t="shared" si="185"/>
        <v>0</v>
      </c>
      <c r="J256" s="159"/>
      <c r="K256" s="159"/>
      <c r="L256" s="113"/>
      <c r="M256" s="113"/>
      <c r="N256" s="54" t="s">
        <v>176</v>
      </c>
      <c r="O256" s="43"/>
    </row>
    <row r="257" spans="1:15" s="38" customFormat="1" ht="12" x14ac:dyDescent="0.2">
      <c r="A257" s="43">
        <v>202</v>
      </c>
      <c r="B257" s="61" t="s">
        <v>10</v>
      </c>
      <c r="C257" s="69">
        <f t="shared" si="171"/>
        <v>0</v>
      </c>
      <c r="D257" s="91"/>
      <c r="E257" s="91"/>
      <c r="F257" s="91"/>
      <c r="G257" s="126"/>
      <c r="H257" s="99"/>
      <c r="I257" s="160"/>
      <c r="J257" s="160"/>
      <c r="K257" s="160"/>
      <c r="L257" s="114"/>
      <c r="M257" s="114"/>
      <c r="N257" s="54"/>
      <c r="O257" s="43"/>
    </row>
    <row r="258" spans="1:15" s="38" customFormat="1" ht="12" x14ac:dyDescent="0.2">
      <c r="A258" s="43">
        <v>203</v>
      </c>
      <c r="B258" s="61" t="s">
        <v>11</v>
      </c>
      <c r="C258" s="69">
        <f t="shared" si="171"/>
        <v>320</v>
      </c>
      <c r="D258" s="91">
        <v>50</v>
      </c>
      <c r="E258" s="91">
        <v>50</v>
      </c>
      <c r="F258" s="91">
        <v>70</v>
      </c>
      <c r="G258" s="126">
        <v>70</v>
      </c>
      <c r="H258" s="99">
        <v>80</v>
      </c>
      <c r="I258" s="160">
        <v>0</v>
      </c>
      <c r="J258" s="160"/>
      <c r="K258" s="160"/>
      <c r="L258" s="114"/>
      <c r="M258" s="114"/>
      <c r="N258" s="54"/>
      <c r="O258" s="43"/>
    </row>
    <row r="259" spans="1:15" s="38" customFormat="1" ht="12" x14ac:dyDescent="0.2">
      <c r="A259" s="43">
        <v>204</v>
      </c>
      <c r="B259" s="61" t="s">
        <v>12</v>
      </c>
      <c r="C259" s="69">
        <f t="shared" si="171"/>
        <v>170</v>
      </c>
      <c r="D259" s="91">
        <v>20</v>
      </c>
      <c r="E259" s="91">
        <v>30</v>
      </c>
      <c r="F259" s="91">
        <v>40</v>
      </c>
      <c r="G259" s="126">
        <v>40</v>
      </c>
      <c r="H259" s="99">
        <v>40</v>
      </c>
      <c r="I259" s="160">
        <v>0</v>
      </c>
      <c r="J259" s="160"/>
      <c r="K259" s="160"/>
      <c r="L259" s="114"/>
      <c r="M259" s="114"/>
      <c r="N259" s="54"/>
      <c r="O259" s="43"/>
    </row>
    <row r="260" spans="1:15" s="38" customFormat="1" ht="36" x14ac:dyDescent="0.2">
      <c r="A260" s="43">
        <v>205</v>
      </c>
      <c r="B260" s="61" t="s">
        <v>35</v>
      </c>
      <c r="C260" s="69">
        <f t="shared" si="171"/>
        <v>545</v>
      </c>
      <c r="D260" s="87">
        <f t="shared" ref="D260:I260" si="186">SUM(D261:D263)</f>
        <v>105</v>
      </c>
      <c r="E260" s="87">
        <f t="shared" si="186"/>
        <v>50</v>
      </c>
      <c r="F260" s="87">
        <f t="shared" si="186"/>
        <v>125</v>
      </c>
      <c r="G260" s="127">
        <f t="shared" si="186"/>
        <v>125</v>
      </c>
      <c r="H260" s="127">
        <f t="shared" si="186"/>
        <v>140</v>
      </c>
      <c r="I260" s="159">
        <f t="shared" si="186"/>
        <v>0</v>
      </c>
      <c r="J260" s="159"/>
      <c r="K260" s="159"/>
      <c r="L260" s="113"/>
      <c r="M260" s="113"/>
      <c r="N260" s="54"/>
      <c r="O260" s="43"/>
    </row>
    <row r="261" spans="1:15" s="38" customFormat="1" ht="12" x14ac:dyDescent="0.2">
      <c r="A261" s="43">
        <v>206</v>
      </c>
      <c r="B261" s="61" t="s">
        <v>10</v>
      </c>
      <c r="C261" s="69">
        <f t="shared" si="171"/>
        <v>0</v>
      </c>
      <c r="D261" s="91"/>
      <c r="E261" s="91"/>
      <c r="F261" s="91"/>
      <c r="G261" s="99"/>
      <c r="H261" s="99"/>
      <c r="I261" s="160"/>
      <c r="J261" s="160"/>
      <c r="K261" s="160"/>
      <c r="L261" s="114"/>
      <c r="M261" s="114"/>
      <c r="N261" s="54" t="s">
        <v>177</v>
      </c>
      <c r="O261" s="43"/>
    </row>
    <row r="262" spans="1:15" s="38" customFormat="1" ht="12" x14ac:dyDescent="0.2">
      <c r="A262" s="43">
        <v>207</v>
      </c>
      <c r="B262" s="61" t="s">
        <v>11</v>
      </c>
      <c r="C262" s="69">
        <f t="shared" si="171"/>
        <v>280</v>
      </c>
      <c r="D262" s="91">
        <v>60</v>
      </c>
      <c r="E262" s="91"/>
      <c r="F262" s="91">
        <v>70</v>
      </c>
      <c r="G262" s="99">
        <v>70</v>
      </c>
      <c r="H262" s="99">
        <v>80</v>
      </c>
      <c r="I262" s="160">
        <v>0</v>
      </c>
      <c r="J262" s="160"/>
      <c r="K262" s="160"/>
      <c r="L262" s="114"/>
      <c r="M262" s="114"/>
      <c r="N262" s="54"/>
      <c r="O262" s="43"/>
    </row>
    <row r="263" spans="1:15" s="38" customFormat="1" ht="12" x14ac:dyDescent="0.2">
      <c r="A263" s="43">
        <v>208</v>
      </c>
      <c r="B263" s="61" t="s">
        <v>12</v>
      </c>
      <c r="C263" s="69">
        <f t="shared" si="171"/>
        <v>265</v>
      </c>
      <c r="D263" s="91">
        <v>45</v>
      </c>
      <c r="E263" s="91">
        <v>50</v>
      </c>
      <c r="F263" s="91">
        <v>55</v>
      </c>
      <c r="G263" s="99">
        <v>55</v>
      </c>
      <c r="H263" s="99">
        <v>60</v>
      </c>
      <c r="I263" s="160">
        <v>0</v>
      </c>
      <c r="J263" s="160"/>
      <c r="K263" s="160"/>
      <c r="L263" s="114"/>
      <c r="M263" s="114"/>
      <c r="N263" s="54"/>
      <c r="O263" s="43"/>
    </row>
    <row r="264" spans="1:15" s="38" customFormat="1" ht="48" x14ac:dyDescent="0.2">
      <c r="A264" s="43">
        <v>209</v>
      </c>
      <c r="B264" s="61" t="s">
        <v>36</v>
      </c>
      <c r="C264" s="69">
        <f t="shared" si="171"/>
        <v>397</v>
      </c>
      <c r="D264" s="87">
        <f t="shared" ref="D264:I264" si="187">SUM(D265:D267)</f>
        <v>67</v>
      </c>
      <c r="E264" s="87">
        <f t="shared" si="187"/>
        <v>35</v>
      </c>
      <c r="F264" s="87">
        <f t="shared" si="187"/>
        <v>85</v>
      </c>
      <c r="G264" s="127">
        <f t="shared" si="187"/>
        <v>100</v>
      </c>
      <c r="H264" s="127">
        <f t="shared" si="187"/>
        <v>110</v>
      </c>
      <c r="I264" s="159">
        <f t="shared" si="187"/>
        <v>0</v>
      </c>
      <c r="J264" s="159"/>
      <c r="K264" s="159"/>
      <c r="L264" s="113"/>
      <c r="M264" s="113"/>
      <c r="N264" s="86"/>
      <c r="O264" s="43"/>
    </row>
    <row r="265" spans="1:15" s="38" customFormat="1" ht="12" x14ac:dyDescent="0.2">
      <c r="A265" s="43">
        <v>210</v>
      </c>
      <c r="B265" s="61" t="s">
        <v>10</v>
      </c>
      <c r="C265" s="69">
        <f t="shared" si="171"/>
        <v>0</v>
      </c>
      <c r="D265" s="91"/>
      <c r="E265" s="91"/>
      <c r="F265" s="91"/>
      <c r="G265" s="99"/>
      <c r="H265" s="99"/>
      <c r="I265" s="160"/>
      <c r="J265" s="160"/>
      <c r="K265" s="160"/>
      <c r="L265" s="114"/>
      <c r="M265" s="114"/>
      <c r="N265" s="54"/>
      <c r="O265" s="43"/>
    </row>
    <row r="266" spans="1:15" s="38" customFormat="1" ht="12" x14ac:dyDescent="0.2">
      <c r="A266" s="43">
        <v>211</v>
      </c>
      <c r="B266" s="61" t="s">
        <v>11</v>
      </c>
      <c r="C266" s="69">
        <f t="shared" si="171"/>
        <v>220</v>
      </c>
      <c r="D266" s="91">
        <v>40</v>
      </c>
      <c r="E266" s="91"/>
      <c r="F266" s="91">
        <v>50</v>
      </c>
      <c r="G266" s="99">
        <v>60</v>
      </c>
      <c r="H266" s="99">
        <v>70</v>
      </c>
      <c r="I266" s="160">
        <v>0</v>
      </c>
      <c r="J266" s="160"/>
      <c r="K266" s="160"/>
      <c r="L266" s="114"/>
      <c r="M266" s="114"/>
      <c r="N266" s="54" t="s">
        <v>177</v>
      </c>
      <c r="O266" s="43"/>
    </row>
    <row r="267" spans="1:15" s="38" customFormat="1" ht="12" x14ac:dyDescent="0.2">
      <c r="A267" s="43">
        <v>212</v>
      </c>
      <c r="B267" s="61" t="s">
        <v>12</v>
      </c>
      <c r="C267" s="69">
        <f t="shared" si="171"/>
        <v>177</v>
      </c>
      <c r="D267" s="91">
        <v>27</v>
      </c>
      <c r="E267" s="91">
        <v>35</v>
      </c>
      <c r="F267" s="91">
        <v>35</v>
      </c>
      <c r="G267" s="99">
        <v>40</v>
      </c>
      <c r="H267" s="99">
        <v>40</v>
      </c>
      <c r="I267" s="160">
        <v>0</v>
      </c>
      <c r="J267" s="160"/>
      <c r="K267" s="160"/>
      <c r="L267" s="114"/>
      <c r="M267" s="114"/>
      <c r="N267" s="54"/>
      <c r="O267" s="43"/>
    </row>
    <row r="268" spans="1:15" s="38" customFormat="1" ht="60" x14ac:dyDescent="0.2">
      <c r="A268" s="43">
        <v>213</v>
      </c>
      <c r="B268" s="61" t="s">
        <v>37</v>
      </c>
      <c r="C268" s="69">
        <f t="shared" ref="C268:C299" si="188">SUM(D268:M268)</f>
        <v>415</v>
      </c>
      <c r="D268" s="87">
        <f t="shared" ref="D268:I268" si="189">SUM(D269:D271)</f>
        <v>95</v>
      </c>
      <c r="E268" s="87">
        <f t="shared" si="189"/>
        <v>50</v>
      </c>
      <c r="F268" s="87">
        <f t="shared" si="189"/>
        <v>120</v>
      </c>
      <c r="G268" s="127">
        <f t="shared" si="189"/>
        <v>0</v>
      </c>
      <c r="H268" s="127">
        <f t="shared" si="189"/>
        <v>150</v>
      </c>
      <c r="I268" s="159">
        <f t="shared" si="189"/>
        <v>0</v>
      </c>
      <c r="J268" s="159">
        <f t="shared" ref="J268:M268" si="190">SUM(J269:J271)</f>
        <v>0</v>
      </c>
      <c r="K268" s="159">
        <f t="shared" si="190"/>
        <v>0</v>
      </c>
      <c r="L268" s="113">
        <f t="shared" si="190"/>
        <v>0</v>
      </c>
      <c r="M268" s="113">
        <f t="shared" si="190"/>
        <v>0</v>
      </c>
      <c r="N268" s="54"/>
      <c r="O268" s="43"/>
    </row>
    <row r="269" spans="1:15" s="38" customFormat="1" ht="12" x14ac:dyDescent="0.2">
      <c r="A269" s="43">
        <v>214</v>
      </c>
      <c r="B269" s="61" t="s">
        <v>10</v>
      </c>
      <c r="C269" s="69">
        <f t="shared" si="188"/>
        <v>0</v>
      </c>
      <c r="D269" s="91"/>
      <c r="E269" s="91"/>
      <c r="F269" s="91"/>
      <c r="G269" s="99"/>
      <c r="H269" s="99"/>
      <c r="I269" s="160"/>
      <c r="J269" s="160"/>
      <c r="K269" s="160"/>
      <c r="L269" s="114"/>
      <c r="M269" s="114"/>
      <c r="N269" s="54"/>
      <c r="O269" s="43"/>
    </row>
    <row r="270" spans="1:15" s="38" customFormat="1" ht="12" x14ac:dyDescent="0.2">
      <c r="A270" s="43">
        <v>215</v>
      </c>
      <c r="B270" s="61" t="s">
        <v>11</v>
      </c>
      <c r="C270" s="69">
        <f t="shared" si="188"/>
        <v>290</v>
      </c>
      <c r="D270" s="91">
        <v>60</v>
      </c>
      <c r="E270" s="91">
        <v>50</v>
      </c>
      <c r="F270" s="91">
        <v>80</v>
      </c>
      <c r="G270" s="99"/>
      <c r="H270" s="99">
        <v>100</v>
      </c>
      <c r="I270" s="160"/>
      <c r="J270" s="160"/>
      <c r="K270" s="160"/>
      <c r="L270" s="114"/>
      <c r="M270" s="114"/>
      <c r="N270" s="54"/>
      <c r="O270" s="43"/>
    </row>
    <row r="271" spans="1:15" s="38" customFormat="1" ht="12" x14ac:dyDescent="0.2">
      <c r="A271" s="43">
        <v>216</v>
      </c>
      <c r="B271" s="61" t="s">
        <v>12</v>
      </c>
      <c r="C271" s="69">
        <f t="shared" si="188"/>
        <v>125</v>
      </c>
      <c r="D271" s="91">
        <v>35</v>
      </c>
      <c r="E271" s="91"/>
      <c r="F271" s="91">
        <v>40</v>
      </c>
      <c r="G271" s="99"/>
      <c r="H271" s="99">
        <v>50</v>
      </c>
      <c r="I271" s="160"/>
      <c r="J271" s="160"/>
      <c r="K271" s="160"/>
      <c r="L271" s="114"/>
      <c r="M271" s="114"/>
      <c r="N271" s="54"/>
      <c r="O271" s="43"/>
    </row>
    <row r="272" spans="1:15" s="38" customFormat="1" ht="72" x14ac:dyDescent="0.2">
      <c r="A272" s="43">
        <v>201</v>
      </c>
      <c r="B272" s="65" t="s">
        <v>228</v>
      </c>
      <c r="C272" s="132">
        <f t="shared" si="188"/>
        <v>3672561.9699999997</v>
      </c>
      <c r="D272" s="73">
        <f>SUM(D273:D276)</f>
        <v>0</v>
      </c>
      <c r="E272" s="73">
        <f t="shared" ref="E272:I272" si="191">SUM(E273:E276)</f>
        <v>124583</v>
      </c>
      <c r="F272" s="73">
        <f t="shared" si="191"/>
        <v>471486.33</v>
      </c>
      <c r="G272" s="122">
        <f t="shared" si="191"/>
        <v>2229280.38</v>
      </c>
      <c r="H272" s="122">
        <f t="shared" si="191"/>
        <v>847212.26</v>
      </c>
      <c r="I272" s="156">
        <f t="shared" si="191"/>
        <v>0</v>
      </c>
      <c r="J272" s="156">
        <f t="shared" ref="J272:M272" si="192">SUM(J273:J276)</f>
        <v>0</v>
      </c>
      <c r="K272" s="156">
        <f t="shared" si="192"/>
        <v>0</v>
      </c>
      <c r="L272" s="73">
        <f t="shared" si="192"/>
        <v>0</v>
      </c>
      <c r="M272" s="73">
        <f t="shared" si="192"/>
        <v>0</v>
      </c>
      <c r="N272" s="84" t="s">
        <v>179</v>
      </c>
      <c r="O272" s="43" t="s">
        <v>149</v>
      </c>
    </row>
    <row r="273" spans="1:15" s="38" customFormat="1" ht="12" x14ac:dyDescent="0.2">
      <c r="A273" s="43">
        <v>202</v>
      </c>
      <c r="B273" s="61" t="s">
        <v>59</v>
      </c>
      <c r="C273" s="69">
        <f t="shared" si="188"/>
        <v>0</v>
      </c>
      <c r="D273" s="69">
        <v>0</v>
      </c>
      <c r="E273" s="69">
        <v>0</v>
      </c>
      <c r="F273" s="69">
        <v>0</v>
      </c>
      <c r="G273" s="85">
        <v>0</v>
      </c>
      <c r="H273" s="85">
        <v>0</v>
      </c>
      <c r="I273" s="77">
        <v>0</v>
      </c>
      <c r="J273" s="77">
        <v>0</v>
      </c>
      <c r="K273" s="77">
        <v>0</v>
      </c>
      <c r="L273" s="69">
        <v>0</v>
      </c>
      <c r="M273" s="69">
        <v>0</v>
      </c>
      <c r="N273" s="54"/>
      <c r="O273" s="43"/>
    </row>
    <row r="274" spans="1:15" s="38" customFormat="1" ht="12" x14ac:dyDescent="0.2">
      <c r="A274" s="43">
        <v>203</v>
      </c>
      <c r="B274" s="61" t="s">
        <v>10</v>
      </c>
      <c r="C274" s="69">
        <f t="shared" si="188"/>
        <v>0</v>
      </c>
      <c r="D274" s="69">
        <f>D278+D282+D286</f>
        <v>0</v>
      </c>
      <c r="E274" s="69">
        <f t="shared" ref="E274:I274" si="193">E278+E282+E286</f>
        <v>0</v>
      </c>
      <c r="F274" s="69">
        <f t="shared" si="193"/>
        <v>0</v>
      </c>
      <c r="G274" s="85">
        <f t="shared" si="193"/>
        <v>0</v>
      </c>
      <c r="H274" s="85">
        <f t="shared" si="193"/>
        <v>0</v>
      </c>
      <c r="I274" s="77">
        <f t="shared" si="193"/>
        <v>0</v>
      </c>
      <c r="J274" s="77">
        <f t="shared" ref="J274:M274" si="194">J278+J282+J286</f>
        <v>0</v>
      </c>
      <c r="K274" s="77">
        <f t="shared" si="194"/>
        <v>0</v>
      </c>
      <c r="L274" s="69">
        <f t="shared" si="194"/>
        <v>0</v>
      </c>
      <c r="M274" s="69">
        <f t="shared" si="194"/>
        <v>0</v>
      </c>
      <c r="N274" s="54"/>
      <c r="O274" s="43"/>
    </row>
    <row r="275" spans="1:15" s="38" customFormat="1" ht="12" x14ac:dyDescent="0.2">
      <c r="A275" s="43">
        <v>204</v>
      </c>
      <c r="B275" s="61" t="s">
        <v>11</v>
      </c>
      <c r="C275" s="69">
        <f t="shared" si="188"/>
        <v>3621704.27</v>
      </c>
      <c r="D275" s="69">
        <f t="shared" ref="D275:I276" si="195">D279+D283+D287</f>
        <v>0</v>
      </c>
      <c r="E275" s="69">
        <f>E279+E283+E287-875417</f>
        <v>124583</v>
      </c>
      <c r="F275" s="69">
        <f>489173-17686.67</f>
        <v>471486.33</v>
      </c>
      <c r="G275" s="85">
        <f>G279+G283+G287-3000000+1995042.12+234238.26</f>
        <v>2229280.38</v>
      </c>
      <c r="H275" s="85">
        <f>H279+H283+H287-1500000+287728.56+508626</f>
        <v>796354.56000000006</v>
      </c>
      <c r="I275" s="77">
        <v>0</v>
      </c>
      <c r="J275" s="77">
        <f t="shared" ref="J275:M275" si="196">J279+J283+J287</f>
        <v>0</v>
      </c>
      <c r="K275" s="77">
        <f t="shared" si="196"/>
        <v>0</v>
      </c>
      <c r="L275" s="69">
        <f t="shared" si="196"/>
        <v>0</v>
      </c>
      <c r="M275" s="69">
        <f t="shared" si="196"/>
        <v>0</v>
      </c>
      <c r="N275" s="54"/>
      <c r="O275" s="43"/>
    </row>
    <row r="276" spans="1:15" s="38" customFormat="1" ht="12" x14ac:dyDescent="0.2">
      <c r="A276" s="43">
        <v>205</v>
      </c>
      <c r="B276" s="61" t="s">
        <v>12</v>
      </c>
      <c r="C276" s="69">
        <f t="shared" si="188"/>
        <v>50857.7</v>
      </c>
      <c r="D276" s="69">
        <f t="shared" si="195"/>
        <v>0</v>
      </c>
      <c r="E276" s="69">
        <f t="shared" si="195"/>
        <v>0</v>
      </c>
      <c r="F276" s="69">
        <f t="shared" si="195"/>
        <v>0</v>
      </c>
      <c r="G276" s="85">
        <f t="shared" si="195"/>
        <v>0</v>
      </c>
      <c r="H276" s="85">
        <f>57384-6526.3</f>
        <v>50857.7</v>
      </c>
      <c r="I276" s="77">
        <f t="shared" si="195"/>
        <v>0</v>
      </c>
      <c r="J276" s="77">
        <f t="shared" ref="J276:M276" si="197">J280+J284+J288</f>
        <v>0</v>
      </c>
      <c r="K276" s="77">
        <f t="shared" si="197"/>
        <v>0</v>
      </c>
      <c r="L276" s="69">
        <f t="shared" si="197"/>
        <v>0</v>
      </c>
      <c r="M276" s="69">
        <f t="shared" si="197"/>
        <v>0</v>
      </c>
      <c r="N276" s="54"/>
      <c r="O276" s="43"/>
    </row>
    <row r="277" spans="1:15" s="38" customFormat="1" ht="108" x14ac:dyDescent="0.2">
      <c r="A277" s="43">
        <v>199</v>
      </c>
      <c r="B277" s="61" t="s">
        <v>68</v>
      </c>
      <c r="C277" s="69">
        <f t="shared" si="188"/>
        <v>4000000</v>
      </c>
      <c r="D277" s="69">
        <f t="shared" ref="D277:I277" si="198">SUM(D278:D280)</f>
        <v>0</v>
      </c>
      <c r="E277" s="69">
        <f t="shared" si="198"/>
        <v>1000000</v>
      </c>
      <c r="F277" s="69">
        <f t="shared" si="198"/>
        <v>0</v>
      </c>
      <c r="G277" s="85">
        <f t="shared" si="198"/>
        <v>3000000</v>
      </c>
      <c r="H277" s="120">
        <f t="shared" si="198"/>
        <v>0</v>
      </c>
      <c r="I277" s="155">
        <f t="shared" si="198"/>
        <v>0</v>
      </c>
      <c r="J277" s="155">
        <f t="shared" ref="J277:M277" si="199">SUM(J278:J280)</f>
        <v>0</v>
      </c>
      <c r="K277" s="155">
        <f t="shared" si="199"/>
        <v>0</v>
      </c>
      <c r="L277" s="68">
        <f t="shared" si="199"/>
        <v>0</v>
      </c>
      <c r="M277" s="68">
        <f t="shared" si="199"/>
        <v>0</v>
      </c>
      <c r="N277" s="54" t="s">
        <v>177</v>
      </c>
      <c r="O277" s="43"/>
    </row>
    <row r="278" spans="1:15" s="38" customFormat="1" ht="12" x14ac:dyDescent="0.2">
      <c r="A278" s="43">
        <v>200</v>
      </c>
      <c r="B278" s="61" t="s">
        <v>10</v>
      </c>
      <c r="C278" s="69">
        <f t="shared" si="188"/>
        <v>0</v>
      </c>
      <c r="D278" s="69"/>
      <c r="E278" s="69"/>
      <c r="F278" s="69"/>
      <c r="G278" s="85"/>
      <c r="H278" s="85"/>
      <c r="I278" s="77"/>
      <c r="J278" s="77"/>
      <c r="K278" s="77"/>
      <c r="L278" s="69"/>
      <c r="M278" s="69"/>
      <c r="N278" s="54"/>
      <c r="O278" s="43"/>
    </row>
    <row r="279" spans="1:15" s="38" customFormat="1" ht="12" x14ac:dyDescent="0.2">
      <c r="A279" s="43"/>
      <c r="B279" s="61" t="s">
        <v>11</v>
      </c>
      <c r="C279" s="69">
        <f t="shared" si="188"/>
        <v>4000000</v>
      </c>
      <c r="D279" s="69">
        <f>1000000-1000000</f>
        <v>0</v>
      </c>
      <c r="E279" s="69">
        <v>1000000</v>
      </c>
      <c r="F279" s="69"/>
      <c r="G279" s="85">
        <v>3000000</v>
      </c>
      <c r="H279" s="85"/>
      <c r="I279" s="77"/>
      <c r="J279" s="77"/>
      <c r="K279" s="77"/>
      <c r="L279" s="69"/>
      <c r="M279" s="69"/>
      <c r="N279" s="54"/>
      <c r="O279" s="43"/>
    </row>
    <row r="280" spans="1:15" s="38" customFormat="1" ht="12" x14ac:dyDescent="0.2">
      <c r="A280" s="43"/>
      <c r="B280" s="61" t="s">
        <v>12</v>
      </c>
      <c r="C280" s="69">
        <f t="shared" si="188"/>
        <v>0</v>
      </c>
      <c r="D280" s="69"/>
      <c r="E280" s="69"/>
      <c r="F280" s="69"/>
      <c r="G280" s="85"/>
      <c r="H280" s="85"/>
      <c r="I280" s="77"/>
      <c r="J280" s="77"/>
      <c r="K280" s="77"/>
      <c r="L280" s="69"/>
      <c r="M280" s="69"/>
      <c r="N280" s="54"/>
      <c r="O280" s="43"/>
    </row>
    <row r="281" spans="1:15" s="38" customFormat="1" ht="108" x14ac:dyDescent="0.2">
      <c r="A281" s="43"/>
      <c r="B281" s="61" t="s">
        <v>69</v>
      </c>
      <c r="C281" s="69">
        <f t="shared" si="188"/>
        <v>2000000</v>
      </c>
      <c r="D281" s="69">
        <f t="shared" ref="D281:I281" si="200">SUM(D282:D284)</f>
        <v>0</v>
      </c>
      <c r="E281" s="69">
        <v>1000000</v>
      </c>
      <c r="F281" s="69">
        <v>1000000</v>
      </c>
      <c r="G281" s="120">
        <f t="shared" si="200"/>
        <v>0</v>
      </c>
      <c r="H281" s="120">
        <f t="shared" si="200"/>
        <v>0</v>
      </c>
      <c r="I281" s="155">
        <f t="shared" si="200"/>
        <v>0</v>
      </c>
      <c r="J281" s="155">
        <f t="shared" ref="J281:M281" si="201">SUM(J282:J284)</f>
        <v>0</v>
      </c>
      <c r="K281" s="155">
        <f t="shared" si="201"/>
        <v>0</v>
      </c>
      <c r="L281" s="68">
        <f t="shared" si="201"/>
        <v>0</v>
      </c>
      <c r="M281" s="68">
        <f t="shared" si="201"/>
        <v>0</v>
      </c>
      <c r="N281" s="54"/>
      <c r="O281" s="43"/>
    </row>
    <row r="282" spans="1:15" s="38" customFormat="1" ht="12" x14ac:dyDescent="0.2">
      <c r="A282" s="43"/>
      <c r="B282" s="61" t="s">
        <v>10</v>
      </c>
      <c r="C282" s="69">
        <f t="shared" si="188"/>
        <v>0</v>
      </c>
      <c r="D282" s="69"/>
      <c r="E282" s="69"/>
      <c r="F282" s="69"/>
      <c r="G282" s="85"/>
      <c r="H282" s="85"/>
      <c r="I282" s="77"/>
      <c r="J282" s="77"/>
      <c r="K282" s="77"/>
      <c r="L282" s="69"/>
      <c r="M282" s="69"/>
      <c r="N282" s="54" t="s">
        <v>177</v>
      </c>
      <c r="O282" s="43"/>
    </row>
    <row r="283" spans="1:15" s="38" customFormat="1" ht="12" x14ac:dyDescent="0.2">
      <c r="A283" s="43"/>
      <c r="B283" s="61" t="s">
        <v>11</v>
      </c>
      <c r="C283" s="69">
        <f t="shared" si="188"/>
        <v>0</v>
      </c>
      <c r="D283" s="69"/>
      <c r="E283" s="69">
        <v>0</v>
      </c>
      <c r="F283" s="69">
        <v>0</v>
      </c>
      <c r="G283" s="85"/>
      <c r="H283" s="85"/>
      <c r="I283" s="77"/>
      <c r="J283" s="77"/>
      <c r="K283" s="77"/>
      <c r="L283" s="69"/>
      <c r="M283" s="69"/>
      <c r="N283" s="54"/>
      <c r="O283" s="43"/>
    </row>
    <row r="284" spans="1:15" s="38" customFormat="1" ht="12" x14ac:dyDescent="0.2">
      <c r="A284" s="43"/>
      <c r="B284" s="61" t="s">
        <v>12</v>
      </c>
      <c r="C284" s="69">
        <f t="shared" si="188"/>
        <v>0</v>
      </c>
      <c r="D284" s="69"/>
      <c r="E284" s="69"/>
      <c r="F284" s="69"/>
      <c r="G284" s="85"/>
      <c r="H284" s="85"/>
      <c r="I284" s="77"/>
      <c r="J284" s="77"/>
      <c r="K284" s="77"/>
      <c r="L284" s="69"/>
      <c r="M284" s="69"/>
      <c r="N284" s="54"/>
      <c r="O284" s="43"/>
    </row>
    <row r="285" spans="1:15" s="38" customFormat="1" ht="108" x14ac:dyDescent="0.2">
      <c r="A285" s="43"/>
      <c r="B285" s="61" t="s">
        <v>70</v>
      </c>
      <c r="C285" s="69">
        <f t="shared" si="188"/>
        <v>1500000</v>
      </c>
      <c r="D285" s="68">
        <f t="shared" ref="D285:I285" si="202">SUM(D286:D288)</f>
        <v>0</v>
      </c>
      <c r="E285" s="68">
        <f t="shared" si="202"/>
        <v>0</v>
      </c>
      <c r="F285" s="68">
        <v>0</v>
      </c>
      <c r="G285" s="120">
        <f t="shared" si="202"/>
        <v>0</v>
      </c>
      <c r="H285" s="120">
        <v>1500000</v>
      </c>
      <c r="I285" s="155">
        <f t="shared" si="202"/>
        <v>0</v>
      </c>
      <c r="J285" s="155">
        <f t="shared" ref="J285:M285" si="203">SUM(J286:J288)</f>
        <v>0</v>
      </c>
      <c r="K285" s="155">
        <f t="shared" si="203"/>
        <v>0</v>
      </c>
      <c r="L285" s="68">
        <f t="shared" si="203"/>
        <v>0</v>
      </c>
      <c r="M285" s="68">
        <f t="shared" si="203"/>
        <v>0</v>
      </c>
      <c r="N285" s="54"/>
      <c r="O285" s="43"/>
    </row>
    <row r="286" spans="1:15" s="38" customFormat="1" ht="12" x14ac:dyDescent="0.2">
      <c r="A286" s="43"/>
      <c r="B286" s="61" t="s">
        <v>38</v>
      </c>
      <c r="C286" s="69">
        <f t="shared" si="188"/>
        <v>0</v>
      </c>
      <c r="D286" s="69"/>
      <c r="E286" s="69"/>
      <c r="F286" s="69"/>
      <c r="G286" s="85"/>
      <c r="H286" s="85"/>
      <c r="I286" s="77"/>
      <c r="J286" s="77"/>
      <c r="K286" s="77"/>
      <c r="L286" s="69"/>
      <c r="M286" s="69"/>
      <c r="N286" s="54"/>
      <c r="O286" s="43"/>
    </row>
    <row r="287" spans="1:15" s="38" customFormat="1" ht="12" x14ac:dyDescent="0.2">
      <c r="A287" s="43"/>
      <c r="B287" s="61" t="s">
        <v>11</v>
      </c>
      <c r="C287" s="69">
        <f t="shared" si="188"/>
        <v>1500000</v>
      </c>
      <c r="D287" s="69"/>
      <c r="E287" s="69"/>
      <c r="F287" s="69">
        <v>0</v>
      </c>
      <c r="G287" s="85"/>
      <c r="H287" s="85">
        <v>1500000</v>
      </c>
      <c r="I287" s="77"/>
      <c r="J287" s="77"/>
      <c r="K287" s="77"/>
      <c r="L287" s="69"/>
      <c r="M287" s="69"/>
      <c r="N287" s="54"/>
      <c r="O287" s="43"/>
    </row>
    <row r="288" spans="1:15" s="38" customFormat="1" ht="12" x14ac:dyDescent="0.2">
      <c r="A288" s="43"/>
      <c r="B288" s="61" t="s">
        <v>12</v>
      </c>
      <c r="C288" s="69">
        <f t="shared" si="188"/>
        <v>0</v>
      </c>
      <c r="D288" s="69"/>
      <c r="E288" s="69"/>
      <c r="F288" s="69"/>
      <c r="G288" s="85"/>
      <c r="H288" s="85"/>
      <c r="I288" s="77"/>
      <c r="J288" s="77"/>
      <c r="K288" s="77"/>
      <c r="L288" s="69"/>
      <c r="M288" s="69"/>
      <c r="N288" s="54"/>
      <c r="O288" s="43"/>
    </row>
    <row r="289" spans="1:15" s="38" customFormat="1" ht="96" x14ac:dyDescent="0.2">
      <c r="A289" s="43">
        <v>206</v>
      </c>
      <c r="B289" s="65" t="s">
        <v>227</v>
      </c>
      <c r="C289" s="69">
        <f t="shared" si="188"/>
        <v>0</v>
      </c>
      <c r="D289" s="73">
        <f>SUM(D290:D293)</f>
        <v>0</v>
      </c>
      <c r="E289" s="73">
        <f>SUM(E290:E293)</f>
        <v>0</v>
      </c>
      <c r="F289" s="73">
        <f t="shared" ref="F289:I289" si="204">SUM(F290:F293)</f>
        <v>0</v>
      </c>
      <c r="G289" s="122">
        <f t="shared" si="204"/>
        <v>0</v>
      </c>
      <c r="H289" s="122">
        <f>SUM(H290:H293)</f>
        <v>0</v>
      </c>
      <c r="I289" s="156">
        <f t="shared" si="204"/>
        <v>0</v>
      </c>
      <c r="J289" s="156">
        <f t="shared" ref="J289:M289" si="205">SUM(J290:J293)</f>
        <v>0</v>
      </c>
      <c r="K289" s="156">
        <f t="shared" si="205"/>
        <v>0</v>
      </c>
      <c r="L289" s="73">
        <f t="shared" si="205"/>
        <v>0</v>
      </c>
      <c r="M289" s="73">
        <f t="shared" si="205"/>
        <v>0</v>
      </c>
      <c r="N289" s="84" t="s">
        <v>175</v>
      </c>
      <c r="O289" s="43" t="s">
        <v>149</v>
      </c>
    </row>
    <row r="290" spans="1:15" s="38" customFormat="1" ht="12" x14ac:dyDescent="0.2">
      <c r="A290" s="43">
        <v>207</v>
      </c>
      <c r="B290" s="61" t="s">
        <v>59</v>
      </c>
      <c r="C290" s="69">
        <f t="shared" si="188"/>
        <v>0</v>
      </c>
      <c r="D290" s="69">
        <v>0</v>
      </c>
      <c r="E290" s="69">
        <v>0</v>
      </c>
      <c r="F290" s="69">
        <v>0</v>
      </c>
      <c r="G290" s="85">
        <v>0</v>
      </c>
      <c r="H290" s="85">
        <v>0</v>
      </c>
      <c r="I290" s="77">
        <v>0</v>
      </c>
      <c r="J290" s="77">
        <v>0</v>
      </c>
      <c r="K290" s="77">
        <v>0</v>
      </c>
      <c r="L290" s="69">
        <v>0</v>
      </c>
      <c r="M290" s="69">
        <v>0</v>
      </c>
      <c r="N290" s="88"/>
      <c r="O290" s="43"/>
    </row>
    <row r="291" spans="1:15" s="38" customFormat="1" ht="12" x14ac:dyDescent="0.2">
      <c r="A291" s="43">
        <v>208</v>
      </c>
      <c r="B291" s="61" t="s">
        <v>10</v>
      </c>
      <c r="C291" s="69">
        <f t="shared" si="188"/>
        <v>0</v>
      </c>
      <c r="D291" s="69">
        <v>0</v>
      </c>
      <c r="E291" s="69">
        <v>0</v>
      </c>
      <c r="F291" s="69">
        <v>0</v>
      </c>
      <c r="G291" s="85">
        <v>0</v>
      </c>
      <c r="H291" s="85">
        <v>0</v>
      </c>
      <c r="I291" s="77">
        <v>0</v>
      </c>
      <c r="J291" s="77">
        <v>0</v>
      </c>
      <c r="K291" s="77">
        <v>0</v>
      </c>
      <c r="L291" s="69">
        <v>0</v>
      </c>
      <c r="M291" s="69">
        <v>0</v>
      </c>
      <c r="N291" s="88"/>
      <c r="O291" s="43"/>
    </row>
    <row r="292" spans="1:15" s="38" customFormat="1" ht="12" x14ac:dyDescent="0.2">
      <c r="A292" s="43">
        <v>209</v>
      </c>
      <c r="B292" s="61" t="s">
        <v>11</v>
      </c>
      <c r="C292" s="69">
        <f t="shared" si="188"/>
        <v>0</v>
      </c>
      <c r="D292" s="69">
        <v>0</v>
      </c>
      <c r="E292" s="69">
        <f>20000-20000</f>
        <v>0</v>
      </c>
      <c r="F292" s="69">
        <v>0</v>
      </c>
      <c r="G292" s="85">
        <v>0</v>
      </c>
      <c r="H292" s="85">
        <v>0</v>
      </c>
      <c r="I292" s="77">
        <v>0</v>
      </c>
      <c r="J292" s="77">
        <v>0</v>
      </c>
      <c r="K292" s="77">
        <v>0</v>
      </c>
      <c r="L292" s="69">
        <v>0</v>
      </c>
      <c r="M292" s="69">
        <v>0</v>
      </c>
      <c r="N292" s="88"/>
      <c r="O292" s="43"/>
    </row>
    <row r="293" spans="1:15" s="38" customFormat="1" ht="12" x14ac:dyDescent="0.2">
      <c r="A293" s="43">
        <v>210</v>
      </c>
      <c r="B293" s="61" t="s">
        <v>12</v>
      </c>
      <c r="C293" s="69">
        <f t="shared" si="188"/>
        <v>0</v>
      </c>
      <c r="D293" s="69">
        <v>0</v>
      </c>
      <c r="E293" s="69">
        <v>0</v>
      </c>
      <c r="F293" s="69">
        <v>0</v>
      </c>
      <c r="G293" s="85">
        <v>0</v>
      </c>
      <c r="H293" s="85">
        <v>0</v>
      </c>
      <c r="I293" s="77">
        <v>0</v>
      </c>
      <c r="J293" s="77">
        <v>0</v>
      </c>
      <c r="K293" s="77">
        <v>0</v>
      </c>
      <c r="L293" s="69">
        <v>0</v>
      </c>
      <c r="M293" s="69">
        <v>0</v>
      </c>
      <c r="N293" s="88"/>
      <c r="O293" s="43"/>
    </row>
    <row r="294" spans="1:15" s="38" customFormat="1" ht="84" x14ac:dyDescent="0.2">
      <c r="A294" s="43">
        <v>211</v>
      </c>
      <c r="B294" s="65" t="s">
        <v>226</v>
      </c>
      <c r="C294" s="132">
        <f t="shared" si="188"/>
        <v>11822783</v>
      </c>
      <c r="D294" s="73">
        <f t="shared" ref="D294:I294" si="206">SUM(D296:D298)</f>
        <v>500000</v>
      </c>
      <c r="E294" s="73">
        <f t="shared" si="206"/>
        <v>414090</v>
      </c>
      <c r="F294" s="73">
        <f t="shared" si="206"/>
        <v>0</v>
      </c>
      <c r="G294" s="122">
        <f t="shared" si="206"/>
        <v>0</v>
      </c>
      <c r="H294" s="122">
        <f t="shared" si="206"/>
        <v>8431059</v>
      </c>
      <c r="I294" s="156">
        <f t="shared" si="206"/>
        <v>640394</v>
      </c>
      <c r="J294" s="156">
        <f t="shared" ref="J294:M294" si="207">SUM(J296:J298)</f>
        <v>918620</v>
      </c>
      <c r="K294" s="156">
        <f t="shared" si="207"/>
        <v>918620</v>
      </c>
      <c r="L294" s="73">
        <f t="shared" si="207"/>
        <v>0</v>
      </c>
      <c r="M294" s="73">
        <f t="shared" si="207"/>
        <v>0</v>
      </c>
      <c r="N294" s="84" t="s">
        <v>175</v>
      </c>
      <c r="O294" s="43" t="s">
        <v>149</v>
      </c>
    </row>
    <row r="295" spans="1:15" s="38" customFormat="1" ht="12" x14ac:dyDescent="0.2">
      <c r="A295" s="43">
        <v>212</v>
      </c>
      <c r="B295" s="61" t="s">
        <v>59</v>
      </c>
      <c r="C295" s="69">
        <f t="shared" si="188"/>
        <v>0</v>
      </c>
      <c r="D295" s="69">
        <v>0</v>
      </c>
      <c r="E295" s="69">
        <v>0</v>
      </c>
      <c r="F295" s="69">
        <v>0</v>
      </c>
      <c r="G295" s="85">
        <v>0</v>
      </c>
      <c r="H295" s="85">
        <v>0</v>
      </c>
      <c r="I295" s="161">
        <v>0</v>
      </c>
      <c r="J295" s="161">
        <v>0</v>
      </c>
      <c r="K295" s="161">
        <v>0</v>
      </c>
      <c r="L295" s="89">
        <v>0</v>
      </c>
      <c r="M295" s="89">
        <v>0</v>
      </c>
      <c r="N295" s="90"/>
      <c r="O295" s="44"/>
    </row>
    <row r="296" spans="1:15" s="38" customFormat="1" ht="12" x14ac:dyDescent="0.2">
      <c r="A296" s="43">
        <v>213</v>
      </c>
      <c r="B296" s="61" t="s">
        <v>10</v>
      </c>
      <c r="C296" s="69">
        <f t="shared" si="188"/>
        <v>7301200</v>
      </c>
      <c r="D296" s="69">
        <v>200000</v>
      </c>
      <c r="E296" s="69">
        <v>84200</v>
      </c>
      <c r="F296" s="69">
        <v>0</v>
      </c>
      <c r="G296" s="85">
        <v>0</v>
      </c>
      <c r="H296" s="85">
        <v>7017000</v>
      </c>
      <c r="I296" s="77">
        <v>0</v>
      </c>
      <c r="J296" s="77">
        <v>0</v>
      </c>
      <c r="K296" s="77">
        <v>0</v>
      </c>
      <c r="L296" s="69">
        <v>0</v>
      </c>
      <c r="M296" s="69">
        <v>0</v>
      </c>
      <c r="N296" s="54"/>
      <c r="O296" s="43"/>
    </row>
    <row r="297" spans="1:15" s="38" customFormat="1" ht="12" x14ac:dyDescent="0.2">
      <c r="A297" s="43">
        <v>214</v>
      </c>
      <c r="B297" s="61" t="s">
        <v>11</v>
      </c>
      <c r="C297" s="69">
        <f t="shared" si="188"/>
        <v>240400</v>
      </c>
      <c r="D297" s="69">
        <v>0</v>
      </c>
      <c r="E297" s="69">
        <f>29890</f>
        <v>29890</v>
      </c>
      <c r="F297" s="69">
        <v>0</v>
      </c>
      <c r="G297" s="85">
        <f>500000-500000</f>
        <v>0</v>
      </c>
      <c r="H297" s="85">
        <v>210510</v>
      </c>
      <c r="I297" s="77">
        <f t="shared" ref="I297:M297" si="208">600000-600000</f>
        <v>0</v>
      </c>
      <c r="J297" s="77">
        <f t="shared" si="208"/>
        <v>0</v>
      </c>
      <c r="K297" s="77">
        <f t="shared" si="208"/>
        <v>0</v>
      </c>
      <c r="L297" s="69">
        <f t="shared" si="208"/>
        <v>0</v>
      </c>
      <c r="M297" s="69">
        <f t="shared" si="208"/>
        <v>0</v>
      </c>
      <c r="N297" s="54"/>
      <c r="O297" s="43"/>
    </row>
    <row r="298" spans="1:15" s="38" customFormat="1" ht="12" x14ac:dyDescent="0.2">
      <c r="A298" s="43">
        <v>215</v>
      </c>
      <c r="B298" s="61" t="s">
        <v>12</v>
      </c>
      <c r="C298" s="69">
        <f t="shared" si="188"/>
        <v>4281183</v>
      </c>
      <c r="D298" s="69">
        <v>300000</v>
      </c>
      <c r="E298" s="69">
        <v>300000</v>
      </c>
      <c r="F298" s="69">
        <f>300000-300000</f>
        <v>0</v>
      </c>
      <c r="G298" s="85">
        <f t="shared" ref="G298:M298" si="209">400000-400000</f>
        <v>0</v>
      </c>
      <c r="H298" s="85">
        <v>1203549</v>
      </c>
      <c r="I298" s="77">
        <v>640394</v>
      </c>
      <c r="J298" s="77">
        <v>918620</v>
      </c>
      <c r="K298" s="77">
        <v>918620</v>
      </c>
      <c r="L298" s="69">
        <f t="shared" si="209"/>
        <v>0</v>
      </c>
      <c r="M298" s="69">
        <f t="shared" si="209"/>
        <v>0</v>
      </c>
      <c r="N298" s="54"/>
      <c r="O298" s="43"/>
    </row>
    <row r="299" spans="1:15" s="38" customFormat="1" ht="60" x14ac:dyDescent="0.2">
      <c r="A299" s="43">
        <v>216</v>
      </c>
      <c r="B299" s="65" t="s">
        <v>225</v>
      </c>
      <c r="C299" s="132">
        <f t="shared" si="188"/>
        <v>856314</v>
      </c>
      <c r="D299" s="73">
        <f t="shared" ref="D299:I299" si="210">SUM(D301:D303)</f>
        <v>0</v>
      </c>
      <c r="E299" s="73">
        <f t="shared" si="210"/>
        <v>0</v>
      </c>
      <c r="F299" s="73">
        <f t="shared" si="210"/>
        <v>856314</v>
      </c>
      <c r="G299" s="122">
        <f t="shared" si="210"/>
        <v>0</v>
      </c>
      <c r="H299" s="122">
        <f t="shared" si="210"/>
        <v>0</v>
      </c>
      <c r="I299" s="156">
        <f t="shared" si="210"/>
        <v>0</v>
      </c>
      <c r="J299" s="156">
        <f t="shared" ref="J299:M299" si="211">SUM(J301:J303)</f>
        <v>0</v>
      </c>
      <c r="K299" s="156">
        <f t="shared" si="211"/>
        <v>0</v>
      </c>
      <c r="L299" s="73">
        <f t="shared" si="211"/>
        <v>0</v>
      </c>
      <c r="M299" s="73">
        <f t="shared" si="211"/>
        <v>0</v>
      </c>
      <c r="N299" s="84" t="s">
        <v>175</v>
      </c>
      <c r="O299" s="43" t="s">
        <v>149</v>
      </c>
    </row>
    <row r="300" spans="1:15" s="38" customFormat="1" ht="12" x14ac:dyDescent="0.2">
      <c r="A300" s="43">
        <v>217</v>
      </c>
      <c r="B300" s="61" t="s">
        <v>59</v>
      </c>
      <c r="C300" s="69">
        <f t="shared" ref="C300:C303" si="212">SUM(D300:M300)</f>
        <v>0</v>
      </c>
      <c r="D300" s="69">
        <v>0</v>
      </c>
      <c r="E300" s="69">
        <v>0</v>
      </c>
      <c r="F300" s="69">
        <v>0</v>
      </c>
      <c r="G300" s="85">
        <v>0</v>
      </c>
      <c r="H300" s="85">
        <v>0</v>
      </c>
      <c r="I300" s="77">
        <v>0</v>
      </c>
      <c r="J300" s="77">
        <v>0</v>
      </c>
      <c r="K300" s="77">
        <v>0</v>
      </c>
      <c r="L300" s="69">
        <v>0</v>
      </c>
      <c r="M300" s="69">
        <v>0</v>
      </c>
      <c r="N300" s="54"/>
      <c r="O300" s="43"/>
    </row>
    <row r="301" spans="1:15" s="38" customFormat="1" ht="12" x14ac:dyDescent="0.2">
      <c r="A301" s="43">
        <v>218</v>
      </c>
      <c r="B301" s="61" t="s">
        <v>10</v>
      </c>
      <c r="C301" s="69">
        <f t="shared" si="212"/>
        <v>428156</v>
      </c>
      <c r="D301" s="69">
        <v>0</v>
      </c>
      <c r="E301" s="69">
        <v>0</v>
      </c>
      <c r="F301" s="69">
        <v>428156</v>
      </c>
      <c r="G301" s="85">
        <v>0</v>
      </c>
      <c r="H301" s="85">
        <v>0</v>
      </c>
      <c r="I301" s="77">
        <v>0</v>
      </c>
      <c r="J301" s="77">
        <v>0</v>
      </c>
      <c r="K301" s="77">
        <v>0</v>
      </c>
      <c r="L301" s="69">
        <v>0</v>
      </c>
      <c r="M301" s="69">
        <v>0</v>
      </c>
      <c r="N301" s="54"/>
      <c r="O301" s="43"/>
    </row>
    <row r="302" spans="1:15" s="38" customFormat="1" ht="12" x14ac:dyDescent="0.2">
      <c r="A302" s="43">
        <v>219</v>
      </c>
      <c r="B302" s="61" t="s">
        <v>11</v>
      </c>
      <c r="C302" s="69">
        <f t="shared" si="212"/>
        <v>299710</v>
      </c>
      <c r="D302" s="69">
        <v>0</v>
      </c>
      <c r="E302" s="69">
        <v>0</v>
      </c>
      <c r="F302" s="69">
        <v>299710</v>
      </c>
      <c r="G302" s="85">
        <v>0</v>
      </c>
      <c r="H302" s="85">
        <v>0</v>
      </c>
      <c r="I302" s="77">
        <v>0</v>
      </c>
      <c r="J302" s="77">
        <v>0</v>
      </c>
      <c r="K302" s="77">
        <v>0</v>
      </c>
      <c r="L302" s="69">
        <v>0</v>
      </c>
      <c r="M302" s="69">
        <v>0</v>
      </c>
      <c r="N302" s="54"/>
      <c r="O302" s="43"/>
    </row>
    <row r="303" spans="1:15" s="38" customFormat="1" ht="12" x14ac:dyDescent="0.2">
      <c r="A303" s="43">
        <v>220</v>
      </c>
      <c r="B303" s="61" t="s">
        <v>12</v>
      </c>
      <c r="C303" s="69">
        <f t="shared" si="212"/>
        <v>128448</v>
      </c>
      <c r="D303" s="69">
        <v>0</v>
      </c>
      <c r="E303" s="69">
        <v>0</v>
      </c>
      <c r="F303" s="69">
        <v>128448</v>
      </c>
      <c r="G303" s="85">
        <v>0</v>
      </c>
      <c r="H303" s="85">
        <v>0</v>
      </c>
      <c r="I303" s="77">
        <v>0</v>
      </c>
      <c r="J303" s="77">
        <v>0</v>
      </c>
      <c r="K303" s="77">
        <v>0</v>
      </c>
      <c r="L303" s="69">
        <v>0</v>
      </c>
      <c r="M303" s="69">
        <v>0</v>
      </c>
      <c r="N303" s="54"/>
      <c r="O303" s="43"/>
    </row>
    <row r="304" spans="1:15" s="38" customFormat="1" ht="60" x14ac:dyDescent="0.2">
      <c r="A304" s="147"/>
      <c r="B304" s="164" t="s">
        <v>233</v>
      </c>
      <c r="C304" s="132">
        <f>D304+E304+F304+G304+H304+I304+J304+K304+L304+M304</f>
        <v>326264</v>
      </c>
      <c r="D304" s="132">
        <f t="shared" ref="D304:M304" si="213">D305+D306+D307+D308</f>
        <v>0</v>
      </c>
      <c r="E304" s="132">
        <f t="shared" si="213"/>
        <v>0</v>
      </c>
      <c r="F304" s="132">
        <f t="shared" si="213"/>
        <v>0</v>
      </c>
      <c r="G304" s="132">
        <f t="shared" si="213"/>
        <v>0</v>
      </c>
      <c r="H304" s="132">
        <f t="shared" si="213"/>
        <v>0</v>
      </c>
      <c r="I304" s="132">
        <f t="shared" si="213"/>
        <v>326264</v>
      </c>
      <c r="J304" s="132">
        <f t="shared" si="213"/>
        <v>0</v>
      </c>
      <c r="K304" s="132">
        <f t="shared" si="213"/>
        <v>0</v>
      </c>
      <c r="L304" s="132">
        <f t="shared" si="213"/>
        <v>0</v>
      </c>
      <c r="M304" s="132">
        <f t="shared" si="213"/>
        <v>0</v>
      </c>
      <c r="N304" s="148"/>
      <c r="O304" s="147"/>
    </row>
    <row r="305" spans="1:15" s="38" customFormat="1" ht="12" x14ac:dyDescent="0.2">
      <c r="A305" s="147"/>
      <c r="B305" s="61" t="s">
        <v>59</v>
      </c>
      <c r="C305" s="69"/>
      <c r="D305" s="69"/>
      <c r="E305" s="69"/>
      <c r="F305" s="69"/>
      <c r="G305" s="85"/>
      <c r="H305" s="85"/>
      <c r="I305" s="77">
        <v>0</v>
      </c>
      <c r="J305" s="77">
        <v>0</v>
      </c>
      <c r="K305" s="77">
        <v>0</v>
      </c>
      <c r="L305" s="69"/>
      <c r="M305" s="69"/>
      <c r="N305" s="148"/>
      <c r="O305" s="147"/>
    </row>
    <row r="306" spans="1:15" s="38" customFormat="1" ht="12" x14ac:dyDescent="0.2">
      <c r="A306" s="147"/>
      <c r="B306" s="61" t="s">
        <v>10</v>
      </c>
      <c r="C306" s="69"/>
      <c r="D306" s="69"/>
      <c r="E306" s="69"/>
      <c r="F306" s="69"/>
      <c r="G306" s="85"/>
      <c r="H306" s="85"/>
      <c r="I306" s="77">
        <v>0</v>
      </c>
      <c r="J306" s="77">
        <v>0</v>
      </c>
      <c r="K306" s="77">
        <v>0</v>
      </c>
      <c r="L306" s="69"/>
      <c r="M306" s="69"/>
      <c r="N306" s="148"/>
      <c r="O306" s="147"/>
    </row>
    <row r="307" spans="1:15" s="38" customFormat="1" ht="12" x14ac:dyDescent="0.2">
      <c r="A307" s="147"/>
      <c r="B307" s="61" t="s">
        <v>11</v>
      </c>
      <c r="C307" s="69"/>
      <c r="D307" s="69"/>
      <c r="E307" s="69"/>
      <c r="F307" s="69"/>
      <c r="G307" s="85"/>
      <c r="H307" s="85"/>
      <c r="I307" s="77">
        <v>326264</v>
      </c>
      <c r="J307" s="77">
        <v>0</v>
      </c>
      <c r="K307" s="77">
        <v>0</v>
      </c>
      <c r="L307" s="69"/>
      <c r="M307" s="69"/>
      <c r="N307" s="148"/>
      <c r="O307" s="147"/>
    </row>
    <row r="308" spans="1:15" s="38" customFormat="1" ht="12" x14ac:dyDescent="0.2">
      <c r="A308" s="147"/>
      <c r="B308" s="61" t="s">
        <v>12</v>
      </c>
      <c r="C308" s="69"/>
      <c r="D308" s="69"/>
      <c r="E308" s="69"/>
      <c r="F308" s="69"/>
      <c r="G308" s="85"/>
      <c r="H308" s="85"/>
      <c r="I308" s="77">
        <v>0</v>
      </c>
      <c r="J308" s="77">
        <v>0</v>
      </c>
      <c r="K308" s="77">
        <v>0</v>
      </c>
      <c r="L308" s="69"/>
      <c r="M308" s="69"/>
      <c r="N308" s="148"/>
      <c r="O308" s="147"/>
    </row>
    <row r="309" spans="1:15" s="38" customFormat="1" ht="21.75" customHeight="1" x14ac:dyDescent="0.2">
      <c r="A309" s="43">
        <v>221</v>
      </c>
      <c r="B309" s="231" t="s">
        <v>39</v>
      </c>
      <c r="C309" s="232"/>
      <c r="D309" s="232"/>
      <c r="E309" s="232"/>
      <c r="F309" s="232"/>
      <c r="G309" s="232"/>
      <c r="H309" s="232"/>
      <c r="I309" s="232"/>
      <c r="J309" s="232"/>
      <c r="K309" s="232"/>
      <c r="L309" s="232"/>
      <c r="M309" s="232"/>
      <c r="N309" s="233"/>
      <c r="O309" s="43"/>
    </row>
    <row r="310" spans="1:15" s="38" customFormat="1" ht="12" x14ac:dyDescent="0.2">
      <c r="A310" s="43">
        <v>222</v>
      </c>
      <c r="B310" s="57" t="s">
        <v>40</v>
      </c>
      <c r="C310" s="132">
        <f>SUM(D310:M310)</f>
        <v>1567100</v>
      </c>
      <c r="D310" s="68">
        <f>SUM(D311:D314)</f>
        <v>50000</v>
      </c>
      <c r="E310" s="68">
        <f t="shared" ref="E310:I310" si="214">SUM(E311:E314)</f>
        <v>50000</v>
      </c>
      <c r="F310" s="68">
        <f t="shared" si="214"/>
        <v>55000</v>
      </c>
      <c r="G310" s="120">
        <f t="shared" si="214"/>
        <v>554004</v>
      </c>
      <c r="H310" s="120">
        <f t="shared" si="214"/>
        <v>258096</v>
      </c>
      <c r="I310" s="155">
        <f t="shared" si="214"/>
        <v>200000</v>
      </c>
      <c r="J310" s="155">
        <f t="shared" ref="J310:M310" si="215">SUM(J311:J314)</f>
        <v>200000</v>
      </c>
      <c r="K310" s="155">
        <f t="shared" si="215"/>
        <v>200000</v>
      </c>
      <c r="L310" s="68">
        <f t="shared" si="215"/>
        <v>0</v>
      </c>
      <c r="M310" s="68">
        <f t="shared" si="215"/>
        <v>0</v>
      </c>
      <c r="N310" s="54"/>
      <c r="O310" s="43"/>
    </row>
    <row r="311" spans="1:15" s="38" customFormat="1" ht="12" x14ac:dyDescent="0.2">
      <c r="A311" s="43">
        <v>223</v>
      </c>
      <c r="B311" s="61" t="s">
        <v>59</v>
      </c>
      <c r="C311" s="69">
        <f>SUM(D311:M311)</f>
        <v>0</v>
      </c>
      <c r="D311" s="69">
        <f t="shared" ref="D311:I314" si="216">D317+D335</f>
        <v>0</v>
      </c>
      <c r="E311" s="69">
        <f t="shared" si="216"/>
        <v>0</v>
      </c>
      <c r="F311" s="69">
        <f t="shared" si="216"/>
        <v>0</v>
      </c>
      <c r="G311" s="85">
        <f t="shared" si="216"/>
        <v>0</v>
      </c>
      <c r="H311" s="85">
        <f t="shared" si="216"/>
        <v>0</v>
      </c>
      <c r="I311" s="77">
        <f t="shared" si="216"/>
        <v>0</v>
      </c>
      <c r="J311" s="77">
        <f t="shared" ref="J311:M311" si="217">J317+J335</f>
        <v>0</v>
      </c>
      <c r="K311" s="77">
        <f t="shared" si="217"/>
        <v>0</v>
      </c>
      <c r="L311" s="69">
        <f t="shared" si="217"/>
        <v>0</v>
      </c>
      <c r="M311" s="69">
        <f t="shared" si="217"/>
        <v>0</v>
      </c>
      <c r="N311" s="54"/>
      <c r="O311" s="43"/>
    </row>
    <row r="312" spans="1:15" s="38" customFormat="1" ht="12" x14ac:dyDescent="0.2">
      <c r="A312" s="43">
        <v>224</v>
      </c>
      <c r="B312" s="61" t="s">
        <v>10</v>
      </c>
      <c r="C312" s="69">
        <f>SUM(D312:M312)</f>
        <v>627100</v>
      </c>
      <c r="D312" s="69">
        <f t="shared" si="216"/>
        <v>0</v>
      </c>
      <c r="E312" s="69">
        <f t="shared" si="216"/>
        <v>0</v>
      </c>
      <c r="F312" s="69">
        <f t="shared" si="216"/>
        <v>0</v>
      </c>
      <c r="G312" s="85">
        <f t="shared" si="216"/>
        <v>454004</v>
      </c>
      <c r="H312" s="85">
        <f t="shared" si="216"/>
        <v>173096</v>
      </c>
      <c r="I312" s="77">
        <f t="shared" si="216"/>
        <v>0</v>
      </c>
      <c r="J312" s="77">
        <f t="shared" ref="J312:M312" si="218">J318+J336</f>
        <v>0</v>
      </c>
      <c r="K312" s="77">
        <f t="shared" si="218"/>
        <v>0</v>
      </c>
      <c r="L312" s="69">
        <f t="shared" si="218"/>
        <v>0</v>
      </c>
      <c r="M312" s="69">
        <f t="shared" si="218"/>
        <v>0</v>
      </c>
      <c r="N312" s="54"/>
      <c r="O312" s="43"/>
    </row>
    <row r="313" spans="1:15" s="38" customFormat="1" ht="12" x14ac:dyDescent="0.2">
      <c r="A313" s="43">
        <v>225</v>
      </c>
      <c r="B313" s="61" t="s">
        <v>11</v>
      </c>
      <c r="C313" s="69">
        <f>SUM(D313:M313)</f>
        <v>940000</v>
      </c>
      <c r="D313" s="69">
        <f t="shared" si="216"/>
        <v>50000</v>
      </c>
      <c r="E313" s="69">
        <f t="shared" si="216"/>
        <v>50000</v>
      </c>
      <c r="F313" s="69">
        <f t="shared" si="216"/>
        <v>55000</v>
      </c>
      <c r="G313" s="85">
        <f t="shared" si="216"/>
        <v>100000</v>
      </c>
      <c r="H313" s="85">
        <f t="shared" si="216"/>
        <v>85000</v>
      </c>
      <c r="I313" s="77">
        <f t="shared" si="216"/>
        <v>200000</v>
      </c>
      <c r="J313" s="77">
        <f t="shared" ref="J313:M313" si="219">J319+J337</f>
        <v>200000</v>
      </c>
      <c r="K313" s="77">
        <f t="shared" si="219"/>
        <v>200000</v>
      </c>
      <c r="L313" s="69">
        <f t="shared" si="219"/>
        <v>0</v>
      </c>
      <c r="M313" s="69">
        <f t="shared" si="219"/>
        <v>0</v>
      </c>
      <c r="N313" s="54"/>
      <c r="O313" s="43"/>
    </row>
    <row r="314" spans="1:15" s="38" customFormat="1" ht="12" x14ac:dyDescent="0.2">
      <c r="A314" s="43">
        <v>226</v>
      </c>
      <c r="B314" s="61" t="s">
        <v>12</v>
      </c>
      <c r="C314" s="69">
        <f>SUM(D314:M314)</f>
        <v>0</v>
      </c>
      <c r="D314" s="69">
        <f t="shared" si="216"/>
        <v>0</v>
      </c>
      <c r="E314" s="69">
        <f t="shared" si="216"/>
        <v>0</v>
      </c>
      <c r="F314" s="69">
        <f t="shared" si="216"/>
        <v>0</v>
      </c>
      <c r="G314" s="85">
        <f t="shared" si="216"/>
        <v>0</v>
      </c>
      <c r="H314" s="85">
        <f t="shared" si="216"/>
        <v>0</v>
      </c>
      <c r="I314" s="77">
        <f t="shared" si="216"/>
        <v>0</v>
      </c>
      <c r="J314" s="77">
        <f t="shared" ref="J314:M314" si="220">J320+J338</f>
        <v>0</v>
      </c>
      <c r="K314" s="77">
        <f t="shared" si="220"/>
        <v>0</v>
      </c>
      <c r="L314" s="69">
        <f t="shared" si="220"/>
        <v>0</v>
      </c>
      <c r="M314" s="69">
        <f t="shared" si="220"/>
        <v>0</v>
      </c>
      <c r="N314" s="54"/>
      <c r="O314" s="43"/>
    </row>
    <row r="315" spans="1:15" s="38" customFormat="1" ht="12" x14ac:dyDescent="0.2">
      <c r="A315" s="43">
        <v>227</v>
      </c>
      <c r="B315" s="221" t="s">
        <v>60</v>
      </c>
      <c r="C315" s="222"/>
      <c r="D315" s="222"/>
      <c r="E315" s="222"/>
      <c r="F315" s="222"/>
      <c r="G315" s="222"/>
      <c r="H315" s="222"/>
      <c r="I315" s="222"/>
      <c r="J315" s="222"/>
      <c r="K315" s="222"/>
      <c r="L315" s="222"/>
      <c r="M315" s="222"/>
      <c r="N315" s="223"/>
      <c r="O315" s="43"/>
    </row>
    <row r="316" spans="1:15" s="38" customFormat="1" ht="36" x14ac:dyDescent="0.2">
      <c r="A316" s="43">
        <v>228</v>
      </c>
      <c r="B316" s="133" t="s">
        <v>62</v>
      </c>
      <c r="C316" s="85">
        <f>SUM(D316:M316)</f>
        <v>0</v>
      </c>
      <c r="D316" s="120">
        <f>SUM(D317:D320)</f>
        <v>0</v>
      </c>
      <c r="E316" s="120">
        <f t="shared" ref="E316:I316" si="221">SUM(E317:E320)</f>
        <v>0</v>
      </c>
      <c r="F316" s="120">
        <f t="shared" si="221"/>
        <v>0</v>
      </c>
      <c r="G316" s="120">
        <f t="shared" si="221"/>
        <v>0</v>
      </c>
      <c r="H316" s="120">
        <f t="shared" si="221"/>
        <v>0</v>
      </c>
      <c r="I316" s="155">
        <f t="shared" si="221"/>
        <v>0</v>
      </c>
      <c r="J316" s="155">
        <f t="shared" ref="J316:M316" si="222">SUM(J317:J320)</f>
        <v>0</v>
      </c>
      <c r="K316" s="155">
        <f t="shared" si="222"/>
        <v>0</v>
      </c>
      <c r="L316" s="120">
        <f t="shared" si="222"/>
        <v>0</v>
      </c>
      <c r="M316" s="120">
        <f t="shared" si="222"/>
        <v>0</v>
      </c>
      <c r="N316" s="134"/>
      <c r="O316" s="43"/>
    </row>
    <row r="317" spans="1:15" s="38" customFormat="1" ht="12" x14ac:dyDescent="0.2">
      <c r="A317" s="43">
        <v>229</v>
      </c>
      <c r="B317" s="126" t="s">
        <v>59</v>
      </c>
      <c r="C317" s="85">
        <f>SUM(D317:M317)</f>
        <v>0</v>
      </c>
      <c r="D317" s="85">
        <f>D323+D329</f>
        <v>0</v>
      </c>
      <c r="E317" s="85">
        <f t="shared" ref="E317:I317" si="223">E323+E329</f>
        <v>0</v>
      </c>
      <c r="F317" s="85">
        <f t="shared" si="223"/>
        <v>0</v>
      </c>
      <c r="G317" s="85">
        <f t="shared" si="223"/>
        <v>0</v>
      </c>
      <c r="H317" s="85">
        <f t="shared" si="223"/>
        <v>0</v>
      </c>
      <c r="I317" s="77">
        <f t="shared" si="223"/>
        <v>0</v>
      </c>
      <c r="J317" s="77">
        <f t="shared" ref="J317:M317" si="224">J323+J329</f>
        <v>0</v>
      </c>
      <c r="K317" s="77">
        <f t="shared" si="224"/>
        <v>0</v>
      </c>
      <c r="L317" s="85">
        <f t="shared" si="224"/>
        <v>0</v>
      </c>
      <c r="M317" s="85">
        <f t="shared" si="224"/>
        <v>0</v>
      </c>
      <c r="N317" s="134"/>
      <c r="O317" s="43"/>
    </row>
    <row r="318" spans="1:15" s="38" customFormat="1" ht="12" x14ac:dyDescent="0.2">
      <c r="A318" s="43">
        <v>230</v>
      </c>
      <c r="B318" s="135" t="s">
        <v>10</v>
      </c>
      <c r="C318" s="85">
        <f>SUM(D318:M318)</f>
        <v>0</v>
      </c>
      <c r="D318" s="85">
        <f t="shared" ref="D318:I320" si="225">D324+D330</f>
        <v>0</v>
      </c>
      <c r="E318" s="85">
        <f t="shared" si="225"/>
        <v>0</v>
      </c>
      <c r="F318" s="85">
        <f t="shared" si="225"/>
        <v>0</v>
      </c>
      <c r="G318" s="85">
        <f t="shared" si="225"/>
        <v>0</v>
      </c>
      <c r="H318" s="85">
        <f t="shared" si="225"/>
        <v>0</v>
      </c>
      <c r="I318" s="77">
        <f t="shared" si="225"/>
        <v>0</v>
      </c>
      <c r="J318" s="77">
        <f t="shared" ref="J318:M318" si="226">J324+J330</f>
        <v>0</v>
      </c>
      <c r="K318" s="77">
        <f t="shared" si="226"/>
        <v>0</v>
      </c>
      <c r="L318" s="85">
        <f t="shared" si="226"/>
        <v>0</v>
      </c>
      <c r="M318" s="85">
        <f t="shared" si="226"/>
        <v>0</v>
      </c>
      <c r="N318" s="134"/>
      <c r="O318" s="43"/>
    </row>
    <row r="319" spans="1:15" s="38" customFormat="1" ht="12" x14ac:dyDescent="0.2">
      <c r="A319" s="43">
        <v>231</v>
      </c>
      <c r="B319" s="135" t="s">
        <v>11</v>
      </c>
      <c r="C319" s="85">
        <f>SUM(D319:M319)</f>
        <v>0</v>
      </c>
      <c r="D319" s="85">
        <f t="shared" si="225"/>
        <v>0</v>
      </c>
      <c r="E319" s="85">
        <f t="shared" si="225"/>
        <v>0</v>
      </c>
      <c r="F319" s="85">
        <f t="shared" si="225"/>
        <v>0</v>
      </c>
      <c r="G319" s="85">
        <f t="shared" si="225"/>
        <v>0</v>
      </c>
      <c r="H319" s="85">
        <f t="shared" si="225"/>
        <v>0</v>
      </c>
      <c r="I319" s="77">
        <f t="shared" si="225"/>
        <v>0</v>
      </c>
      <c r="J319" s="77">
        <f t="shared" ref="J319:M319" si="227">J325+J331</f>
        <v>0</v>
      </c>
      <c r="K319" s="77">
        <f t="shared" si="227"/>
        <v>0</v>
      </c>
      <c r="L319" s="85">
        <f t="shared" si="227"/>
        <v>0</v>
      </c>
      <c r="M319" s="85">
        <f t="shared" si="227"/>
        <v>0</v>
      </c>
      <c r="N319" s="134"/>
      <c r="O319" s="43"/>
    </row>
    <row r="320" spans="1:15" s="38" customFormat="1" ht="12" x14ac:dyDescent="0.2">
      <c r="A320" s="43">
        <v>232</v>
      </c>
      <c r="B320" s="135" t="s">
        <v>12</v>
      </c>
      <c r="C320" s="85">
        <f>SUM(D320:M320)</f>
        <v>0</v>
      </c>
      <c r="D320" s="85">
        <f t="shared" si="225"/>
        <v>0</v>
      </c>
      <c r="E320" s="85">
        <f t="shared" si="225"/>
        <v>0</v>
      </c>
      <c r="F320" s="85">
        <f t="shared" si="225"/>
        <v>0</v>
      </c>
      <c r="G320" s="85">
        <f t="shared" si="225"/>
        <v>0</v>
      </c>
      <c r="H320" s="85">
        <f t="shared" si="225"/>
        <v>0</v>
      </c>
      <c r="I320" s="77">
        <f t="shared" si="225"/>
        <v>0</v>
      </c>
      <c r="J320" s="77">
        <f t="shared" ref="J320:M320" si="228">J326+J332</f>
        <v>0</v>
      </c>
      <c r="K320" s="77">
        <f t="shared" si="228"/>
        <v>0</v>
      </c>
      <c r="L320" s="85">
        <f t="shared" si="228"/>
        <v>0</v>
      </c>
      <c r="M320" s="85">
        <f t="shared" si="228"/>
        <v>0</v>
      </c>
      <c r="N320" s="134"/>
      <c r="O320" s="43"/>
    </row>
    <row r="321" spans="1:15" s="38" customFormat="1" ht="12" x14ac:dyDescent="0.2">
      <c r="A321" s="43">
        <v>233</v>
      </c>
      <c r="B321" s="239" t="s">
        <v>145</v>
      </c>
      <c r="C321" s="236"/>
      <c r="D321" s="236"/>
      <c r="E321" s="236"/>
      <c r="F321" s="236"/>
      <c r="G321" s="236"/>
      <c r="H321" s="236"/>
      <c r="I321" s="236"/>
      <c r="J321" s="236"/>
      <c r="K321" s="236"/>
      <c r="L321" s="236"/>
      <c r="M321" s="236"/>
      <c r="N321" s="237"/>
      <c r="O321" s="43"/>
    </row>
    <row r="322" spans="1:15" s="38" customFormat="1" ht="36" x14ac:dyDescent="0.2">
      <c r="A322" s="43">
        <v>234</v>
      </c>
      <c r="B322" s="136" t="s">
        <v>146</v>
      </c>
      <c r="C322" s="85">
        <f>SUM(D322:M322)</f>
        <v>0</v>
      </c>
      <c r="D322" s="120">
        <f>SUM(D323:D326)</f>
        <v>0</v>
      </c>
      <c r="E322" s="120">
        <f t="shared" ref="E322:I322" si="229">SUM(E323:E326)</f>
        <v>0</v>
      </c>
      <c r="F322" s="120">
        <f t="shared" si="229"/>
        <v>0</v>
      </c>
      <c r="G322" s="120">
        <f t="shared" si="229"/>
        <v>0</v>
      </c>
      <c r="H322" s="120">
        <f t="shared" si="229"/>
        <v>0</v>
      </c>
      <c r="I322" s="155">
        <f t="shared" si="229"/>
        <v>0</v>
      </c>
      <c r="J322" s="155">
        <f t="shared" ref="J322:M322" si="230">SUM(J323:J326)</f>
        <v>0</v>
      </c>
      <c r="K322" s="155">
        <f t="shared" si="230"/>
        <v>0</v>
      </c>
      <c r="L322" s="120">
        <f t="shared" si="230"/>
        <v>0</v>
      </c>
      <c r="M322" s="120">
        <f t="shared" si="230"/>
        <v>0</v>
      </c>
      <c r="N322" s="134"/>
      <c r="O322" s="43"/>
    </row>
    <row r="323" spans="1:15" s="38" customFormat="1" ht="12" x14ac:dyDescent="0.2">
      <c r="A323" s="43">
        <v>235</v>
      </c>
      <c r="B323" s="136" t="s">
        <v>59</v>
      </c>
      <c r="C323" s="85">
        <f>SUM(D323:M323)</f>
        <v>0</v>
      </c>
      <c r="D323" s="85">
        <v>0</v>
      </c>
      <c r="E323" s="85">
        <v>0</v>
      </c>
      <c r="F323" s="85">
        <v>0</v>
      </c>
      <c r="G323" s="85">
        <v>0</v>
      </c>
      <c r="H323" s="85">
        <v>0</v>
      </c>
      <c r="I323" s="77">
        <v>0</v>
      </c>
      <c r="J323" s="77">
        <v>0</v>
      </c>
      <c r="K323" s="77">
        <v>0</v>
      </c>
      <c r="L323" s="85">
        <v>0</v>
      </c>
      <c r="M323" s="85">
        <v>0</v>
      </c>
      <c r="N323" s="134"/>
      <c r="O323" s="43"/>
    </row>
    <row r="324" spans="1:15" s="38" customFormat="1" ht="12" x14ac:dyDescent="0.2">
      <c r="A324" s="43">
        <v>236</v>
      </c>
      <c r="B324" s="136" t="s">
        <v>10</v>
      </c>
      <c r="C324" s="85">
        <f>SUM(D324:M324)</f>
        <v>0</v>
      </c>
      <c r="D324" s="85">
        <v>0</v>
      </c>
      <c r="E324" s="85">
        <v>0</v>
      </c>
      <c r="F324" s="85">
        <v>0</v>
      </c>
      <c r="G324" s="85">
        <v>0</v>
      </c>
      <c r="H324" s="85">
        <v>0</v>
      </c>
      <c r="I324" s="77">
        <v>0</v>
      </c>
      <c r="J324" s="77">
        <v>0</v>
      </c>
      <c r="K324" s="77">
        <v>0</v>
      </c>
      <c r="L324" s="85">
        <v>0</v>
      </c>
      <c r="M324" s="85">
        <v>0</v>
      </c>
      <c r="N324" s="134"/>
      <c r="O324" s="43"/>
    </row>
    <row r="325" spans="1:15" s="38" customFormat="1" ht="12" x14ac:dyDescent="0.2">
      <c r="A325" s="43">
        <v>237</v>
      </c>
      <c r="B325" s="136" t="s">
        <v>11</v>
      </c>
      <c r="C325" s="85">
        <f>SUM(D325:M325)</f>
        <v>0</v>
      </c>
      <c r="D325" s="85">
        <v>0</v>
      </c>
      <c r="E325" s="85">
        <v>0</v>
      </c>
      <c r="F325" s="85">
        <v>0</v>
      </c>
      <c r="G325" s="85">
        <v>0</v>
      </c>
      <c r="H325" s="85">
        <v>0</v>
      </c>
      <c r="I325" s="77">
        <v>0</v>
      </c>
      <c r="J325" s="77">
        <v>0</v>
      </c>
      <c r="K325" s="77">
        <v>0</v>
      </c>
      <c r="L325" s="85">
        <v>0</v>
      </c>
      <c r="M325" s="85">
        <v>0</v>
      </c>
      <c r="N325" s="134"/>
      <c r="O325" s="43"/>
    </row>
    <row r="326" spans="1:15" s="38" customFormat="1" ht="12" x14ac:dyDescent="0.2">
      <c r="A326" s="43">
        <v>238</v>
      </c>
      <c r="B326" s="136" t="s">
        <v>12</v>
      </c>
      <c r="C326" s="85">
        <f>SUM(D326:M326)</f>
        <v>0</v>
      </c>
      <c r="D326" s="85">
        <v>0</v>
      </c>
      <c r="E326" s="85">
        <v>0</v>
      </c>
      <c r="F326" s="85">
        <v>0</v>
      </c>
      <c r="G326" s="85">
        <v>0</v>
      </c>
      <c r="H326" s="85">
        <v>0</v>
      </c>
      <c r="I326" s="77">
        <v>0</v>
      </c>
      <c r="J326" s="77">
        <v>0</v>
      </c>
      <c r="K326" s="77">
        <v>0</v>
      </c>
      <c r="L326" s="85">
        <v>0</v>
      </c>
      <c r="M326" s="85">
        <v>0</v>
      </c>
      <c r="N326" s="134"/>
      <c r="O326" s="43"/>
    </row>
    <row r="327" spans="1:15" s="38" customFormat="1" ht="12" x14ac:dyDescent="0.2">
      <c r="A327" s="43">
        <v>239</v>
      </c>
      <c r="B327" s="240" t="s">
        <v>151</v>
      </c>
      <c r="C327" s="241"/>
      <c r="D327" s="241"/>
      <c r="E327" s="241"/>
      <c r="F327" s="241"/>
      <c r="G327" s="241"/>
      <c r="H327" s="241"/>
      <c r="I327" s="241"/>
      <c r="J327" s="241"/>
      <c r="K327" s="241"/>
      <c r="L327" s="241"/>
      <c r="M327" s="241"/>
      <c r="N327" s="242"/>
      <c r="O327" s="43"/>
    </row>
    <row r="328" spans="1:15" s="38" customFormat="1" ht="24" x14ac:dyDescent="0.2">
      <c r="A328" s="43">
        <v>240</v>
      </c>
      <c r="B328" s="136" t="s">
        <v>152</v>
      </c>
      <c r="C328" s="85">
        <f>SUM(D328:M328)</f>
        <v>0</v>
      </c>
      <c r="D328" s="120">
        <f>SUM(D329:D332)</f>
        <v>0</v>
      </c>
      <c r="E328" s="120">
        <f t="shared" ref="E328:I328" si="231">SUM(E329:E332)</f>
        <v>0</v>
      </c>
      <c r="F328" s="120">
        <f t="shared" si="231"/>
        <v>0</v>
      </c>
      <c r="G328" s="120">
        <f t="shared" si="231"/>
        <v>0</v>
      </c>
      <c r="H328" s="120">
        <f t="shared" si="231"/>
        <v>0</v>
      </c>
      <c r="I328" s="155">
        <f t="shared" si="231"/>
        <v>0</v>
      </c>
      <c r="J328" s="155">
        <f t="shared" ref="J328:M328" si="232">SUM(J329:J332)</f>
        <v>0</v>
      </c>
      <c r="K328" s="155">
        <f t="shared" si="232"/>
        <v>0</v>
      </c>
      <c r="L328" s="120">
        <f t="shared" si="232"/>
        <v>0</v>
      </c>
      <c r="M328" s="120">
        <f t="shared" si="232"/>
        <v>0</v>
      </c>
      <c r="N328" s="134"/>
      <c r="O328" s="43"/>
    </row>
    <row r="329" spans="1:15" s="38" customFormat="1" ht="12" x14ac:dyDescent="0.2">
      <c r="A329" s="43">
        <v>241</v>
      </c>
      <c r="B329" s="136" t="s">
        <v>59</v>
      </c>
      <c r="C329" s="85">
        <f>SUM(D329:M329)</f>
        <v>0</v>
      </c>
      <c r="D329" s="85">
        <v>0</v>
      </c>
      <c r="E329" s="85">
        <v>0</v>
      </c>
      <c r="F329" s="85">
        <v>0</v>
      </c>
      <c r="G329" s="85">
        <v>0</v>
      </c>
      <c r="H329" s="85">
        <v>0</v>
      </c>
      <c r="I329" s="77">
        <v>0</v>
      </c>
      <c r="J329" s="77">
        <v>0</v>
      </c>
      <c r="K329" s="77">
        <v>0</v>
      </c>
      <c r="L329" s="85">
        <v>0</v>
      </c>
      <c r="M329" s="85">
        <v>0</v>
      </c>
      <c r="N329" s="134"/>
      <c r="O329" s="43"/>
    </row>
    <row r="330" spans="1:15" s="38" customFormat="1" ht="12" x14ac:dyDescent="0.2">
      <c r="A330" s="43">
        <v>242</v>
      </c>
      <c r="B330" s="136" t="s">
        <v>10</v>
      </c>
      <c r="C330" s="85">
        <f>SUM(D330:M330)</f>
        <v>0</v>
      </c>
      <c r="D330" s="85">
        <v>0</v>
      </c>
      <c r="E330" s="85">
        <v>0</v>
      </c>
      <c r="F330" s="85">
        <v>0</v>
      </c>
      <c r="G330" s="85">
        <v>0</v>
      </c>
      <c r="H330" s="85">
        <v>0</v>
      </c>
      <c r="I330" s="77">
        <v>0</v>
      </c>
      <c r="J330" s="77">
        <v>0</v>
      </c>
      <c r="K330" s="77">
        <v>0</v>
      </c>
      <c r="L330" s="85">
        <v>0</v>
      </c>
      <c r="M330" s="85">
        <v>0</v>
      </c>
      <c r="N330" s="134"/>
      <c r="O330" s="43"/>
    </row>
    <row r="331" spans="1:15" s="38" customFormat="1" ht="12" x14ac:dyDescent="0.2">
      <c r="A331" s="43">
        <v>243</v>
      </c>
      <c r="B331" s="136" t="s">
        <v>11</v>
      </c>
      <c r="C331" s="85">
        <f>SUM(D331:M331)</f>
        <v>0</v>
      </c>
      <c r="D331" s="85">
        <v>0</v>
      </c>
      <c r="E331" s="85">
        <v>0</v>
      </c>
      <c r="F331" s="85">
        <v>0</v>
      </c>
      <c r="G331" s="85">
        <v>0</v>
      </c>
      <c r="H331" s="85">
        <v>0</v>
      </c>
      <c r="I331" s="77">
        <v>0</v>
      </c>
      <c r="J331" s="77">
        <v>0</v>
      </c>
      <c r="K331" s="77">
        <v>0</v>
      </c>
      <c r="L331" s="85">
        <v>0</v>
      </c>
      <c r="M331" s="85">
        <v>0</v>
      </c>
      <c r="N331" s="134"/>
      <c r="O331" s="43"/>
    </row>
    <row r="332" spans="1:15" s="38" customFormat="1" ht="12" x14ac:dyDescent="0.2">
      <c r="A332" s="43">
        <v>244</v>
      </c>
      <c r="B332" s="136" t="s">
        <v>12</v>
      </c>
      <c r="C332" s="85">
        <f>SUM(D332:M332)</f>
        <v>0</v>
      </c>
      <c r="D332" s="85">
        <v>0</v>
      </c>
      <c r="E332" s="85">
        <v>0</v>
      </c>
      <c r="F332" s="85">
        <v>0</v>
      </c>
      <c r="G332" s="85">
        <v>0</v>
      </c>
      <c r="H332" s="85">
        <v>0</v>
      </c>
      <c r="I332" s="77">
        <v>0</v>
      </c>
      <c r="J332" s="77">
        <v>0</v>
      </c>
      <c r="K332" s="77">
        <v>0</v>
      </c>
      <c r="L332" s="85">
        <v>0</v>
      </c>
      <c r="M332" s="85">
        <v>0</v>
      </c>
      <c r="N332" s="134"/>
      <c r="O332" s="43"/>
    </row>
    <row r="333" spans="1:15" s="38" customFormat="1" ht="12" x14ac:dyDescent="0.2">
      <c r="A333" s="43">
        <v>245</v>
      </c>
      <c r="B333" s="225" t="s">
        <v>22</v>
      </c>
      <c r="C333" s="225"/>
      <c r="D333" s="225"/>
      <c r="E333" s="225"/>
      <c r="F333" s="225"/>
      <c r="G333" s="225"/>
      <c r="H333" s="225"/>
      <c r="I333" s="225"/>
      <c r="J333" s="225"/>
      <c r="K333" s="225"/>
      <c r="L333" s="225"/>
      <c r="M333" s="225"/>
      <c r="N333" s="225"/>
      <c r="O333" s="43"/>
    </row>
    <row r="334" spans="1:15" s="38" customFormat="1" ht="24" x14ac:dyDescent="0.2">
      <c r="A334" s="43">
        <v>246</v>
      </c>
      <c r="B334" s="57" t="s">
        <v>23</v>
      </c>
      <c r="C334" s="132">
        <f t="shared" ref="C334:C371" si="233">SUM(D334:M334)</f>
        <v>1567100</v>
      </c>
      <c r="D334" s="68">
        <f>SUM(D335:D338)</f>
        <v>50000</v>
      </c>
      <c r="E334" s="68">
        <f t="shared" ref="E334:I334" si="234">SUM(E335:E338)</f>
        <v>50000</v>
      </c>
      <c r="F334" s="68">
        <f t="shared" si="234"/>
        <v>55000</v>
      </c>
      <c r="G334" s="120">
        <f t="shared" si="234"/>
        <v>554004</v>
      </c>
      <c r="H334" s="120">
        <f t="shared" si="234"/>
        <v>258096</v>
      </c>
      <c r="I334" s="155">
        <f t="shared" si="234"/>
        <v>200000</v>
      </c>
      <c r="J334" s="155">
        <f t="shared" ref="J334:M334" si="235">SUM(J335:J338)</f>
        <v>200000</v>
      </c>
      <c r="K334" s="155">
        <f t="shared" si="235"/>
        <v>200000</v>
      </c>
      <c r="L334" s="68">
        <f t="shared" si="235"/>
        <v>0</v>
      </c>
      <c r="M334" s="68">
        <f t="shared" si="235"/>
        <v>0</v>
      </c>
      <c r="N334" s="54"/>
      <c r="O334" s="43"/>
    </row>
    <row r="335" spans="1:15" s="38" customFormat="1" ht="12" x14ac:dyDescent="0.2">
      <c r="A335" s="43">
        <v>247</v>
      </c>
      <c r="B335" s="61" t="s">
        <v>59</v>
      </c>
      <c r="C335" s="69">
        <f t="shared" si="233"/>
        <v>0</v>
      </c>
      <c r="D335" s="69">
        <f t="shared" ref="D335:I337" si="236">D340+D353+D358+D363+D368</f>
        <v>0</v>
      </c>
      <c r="E335" s="69">
        <f t="shared" si="236"/>
        <v>0</v>
      </c>
      <c r="F335" s="69">
        <f t="shared" si="236"/>
        <v>0</v>
      </c>
      <c r="G335" s="85">
        <f t="shared" si="236"/>
        <v>0</v>
      </c>
      <c r="H335" s="85">
        <f t="shared" si="236"/>
        <v>0</v>
      </c>
      <c r="I335" s="77">
        <f t="shared" si="236"/>
        <v>0</v>
      </c>
      <c r="J335" s="77">
        <f t="shared" ref="J335:M335" si="237">J340+J353+J358+J363+J368</f>
        <v>0</v>
      </c>
      <c r="K335" s="77">
        <f t="shared" si="237"/>
        <v>0</v>
      </c>
      <c r="L335" s="69">
        <f t="shared" si="237"/>
        <v>0</v>
      </c>
      <c r="M335" s="69">
        <f t="shared" si="237"/>
        <v>0</v>
      </c>
      <c r="N335" s="54"/>
      <c r="O335" s="43"/>
    </row>
    <row r="336" spans="1:15" s="38" customFormat="1" ht="12" x14ac:dyDescent="0.2">
      <c r="A336" s="43">
        <v>248</v>
      </c>
      <c r="B336" s="61" t="s">
        <v>10</v>
      </c>
      <c r="C336" s="69">
        <f t="shared" si="233"/>
        <v>627100</v>
      </c>
      <c r="D336" s="69">
        <f t="shared" si="236"/>
        <v>0</v>
      </c>
      <c r="E336" s="69">
        <f t="shared" si="236"/>
        <v>0</v>
      </c>
      <c r="F336" s="69">
        <f t="shared" si="236"/>
        <v>0</v>
      </c>
      <c r="G336" s="85">
        <f t="shared" si="236"/>
        <v>454004</v>
      </c>
      <c r="H336" s="85">
        <f t="shared" si="236"/>
        <v>173096</v>
      </c>
      <c r="I336" s="77">
        <f t="shared" si="236"/>
        <v>0</v>
      </c>
      <c r="J336" s="77">
        <f t="shared" ref="J336:M336" si="238">J341+J354+J359+J364+J369</f>
        <v>0</v>
      </c>
      <c r="K336" s="77">
        <f t="shared" si="238"/>
        <v>0</v>
      </c>
      <c r="L336" s="69">
        <f t="shared" si="238"/>
        <v>0</v>
      </c>
      <c r="M336" s="69">
        <f t="shared" si="238"/>
        <v>0</v>
      </c>
      <c r="N336" s="54"/>
      <c r="O336" s="43"/>
    </row>
    <row r="337" spans="1:15" s="38" customFormat="1" ht="12" x14ac:dyDescent="0.2">
      <c r="A337" s="43">
        <v>249</v>
      </c>
      <c r="B337" s="61" t="s">
        <v>11</v>
      </c>
      <c r="C337" s="69">
        <f t="shared" si="233"/>
        <v>940000</v>
      </c>
      <c r="D337" s="69">
        <f>D342+D355+D360+D365+D370</f>
        <v>50000</v>
      </c>
      <c r="E337" s="69">
        <f t="shared" si="236"/>
        <v>50000</v>
      </c>
      <c r="F337" s="69">
        <f t="shared" si="236"/>
        <v>55000</v>
      </c>
      <c r="G337" s="85">
        <f t="shared" si="236"/>
        <v>100000</v>
      </c>
      <c r="H337" s="85">
        <f t="shared" si="236"/>
        <v>85000</v>
      </c>
      <c r="I337" s="77">
        <f t="shared" si="236"/>
        <v>200000</v>
      </c>
      <c r="J337" s="77">
        <f t="shared" ref="J337:M337" si="239">J342+J355+J360+J365+J370</f>
        <v>200000</v>
      </c>
      <c r="K337" s="77">
        <f t="shared" si="239"/>
        <v>200000</v>
      </c>
      <c r="L337" s="69">
        <f t="shared" si="239"/>
        <v>0</v>
      </c>
      <c r="M337" s="69">
        <f t="shared" si="239"/>
        <v>0</v>
      </c>
      <c r="N337" s="54"/>
      <c r="O337" s="43"/>
    </row>
    <row r="338" spans="1:15" s="38" customFormat="1" ht="12" x14ac:dyDescent="0.2">
      <c r="A338" s="43">
        <v>250</v>
      </c>
      <c r="B338" s="61" t="s">
        <v>12</v>
      </c>
      <c r="C338" s="69">
        <f t="shared" si="233"/>
        <v>0</v>
      </c>
      <c r="D338" s="69">
        <f t="shared" ref="D338:I338" si="240">D343+D356+D361+D366+D371</f>
        <v>0</v>
      </c>
      <c r="E338" s="69">
        <f t="shared" si="240"/>
        <v>0</v>
      </c>
      <c r="F338" s="69">
        <f t="shared" si="240"/>
        <v>0</v>
      </c>
      <c r="G338" s="85">
        <f t="shared" si="240"/>
        <v>0</v>
      </c>
      <c r="H338" s="85">
        <f t="shared" si="240"/>
        <v>0</v>
      </c>
      <c r="I338" s="77">
        <f t="shared" si="240"/>
        <v>0</v>
      </c>
      <c r="J338" s="77">
        <f t="shared" ref="J338:M338" si="241">J343+J356+J361+J366+J371</f>
        <v>0</v>
      </c>
      <c r="K338" s="77">
        <f t="shared" si="241"/>
        <v>0</v>
      </c>
      <c r="L338" s="69">
        <f t="shared" si="241"/>
        <v>0</v>
      </c>
      <c r="M338" s="69">
        <f t="shared" si="241"/>
        <v>0</v>
      </c>
      <c r="N338" s="54"/>
      <c r="O338" s="43"/>
    </row>
    <row r="339" spans="1:15" s="38" customFormat="1" ht="96" x14ac:dyDescent="0.2">
      <c r="A339" s="43">
        <v>251</v>
      </c>
      <c r="B339" s="65" t="s">
        <v>234</v>
      </c>
      <c r="C339" s="132">
        <f t="shared" si="233"/>
        <v>577100</v>
      </c>
      <c r="D339" s="73">
        <f>SUM(D340:D343)</f>
        <v>50000</v>
      </c>
      <c r="E339" s="73">
        <f t="shared" ref="E339:I339" si="242">SUM(E340:E343)</f>
        <v>0</v>
      </c>
      <c r="F339" s="73">
        <f t="shared" si="242"/>
        <v>0</v>
      </c>
      <c r="G339" s="122">
        <f t="shared" si="242"/>
        <v>154004</v>
      </c>
      <c r="H339" s="122">
        <f t="shared" si="242"/>
        <v>223096</v>
      </c>
      <c r="I339" s="156">
        <f t="shared" si="242"/>
        <v>50000</v>
      </c>
      <c r="J339" s="156">
        <f t="shared" ref="J339:M339" si="243">SUM(J340:J343)</f>
        <v>50000</v>
      </c>
      <c r="K339" s="156">
        <f t="shared" si="243"/>
        <v>50000</v>
      </c>
      <c r="L339" s="73">
        <f t="shared" si="243"/>
        <v>0</v>
      </c>
      <c r="M339" s="73">
        <f t="shared" si="243"/>
        <v>0</v>
      </c>
      <c r="N339" s="54" t="s">
        <v>184</v>
      </c>
      <c r="O339" s="43" t="s">
        <v>149</v>
      </c>
    </row>
    <row r="340" spans="1:15" s="38" customFormat="1" ht="12" x14ac:dyDescent="0.2">
      <c r="A340" s="43">
        <v>252</v>
      </c>
      <c r="B340" s="61" t="s">
        <v>59</v>
      </c>
      <c r="C340" s="69">
        <f t="shared" si="233"/>
        <v>0</v>
      </c>
      <c r="D340" s="61">
        <v>0</v>
      </c>
      <c r="E340" s="61">
        <v>0</v>
      </c>
      <c r="F340" s="61">
        <v>0</v>
      </c>
      <c r="G340" s="126">
        <v>0</v>
      </c>
      <c r="H340" s="126">
        <v>0</v>
      </c>
      <c r="I340" s="162">
        <v>0</v>
      </c>
      <c r="J340" s="162">
        <v>0</v>
      </c>
      <c r="K340" s="162">
        <v>0</v>
      </c>
      <c r="L340" s="61">
        <v>0</v>
      </c>
      <c r="M340" s="61">
        <v>0</v>
      </c>
      <c r="N340" s="54"/>
      <c r="O340" s="43"/>
    </row>
    <row r="341" spans="1:15" s="38" customFormat="1" ht="12" x14ac:dyDescent="0.2">
      <c r="A341" s="43">
        <v>253</v>
      </c>
      <c r="B341" s="61" t="s">
        <v>10</v>
      </c>
      <c r="C341" s="69">
        <f t="shared" si="233"/>
        <v>227100</v>
      </c>
      <c r="D341" s="61">
        <v>0</v>
      </c>
      <c r="E341" s="61">
        <v>0</v>
      </c>
      <c r="F341" s="61">
        <v>0</v>
      </c>
      <c r="G341" s="126">
        <v>54004</v>
      </c>
      <c r="H341" s="126">
        <f>173096</f>
        <v>173096</v>
      </c>
      <c r="I341" s="162">
        <v>0</v>
      </c>
      <c r="J341" s="162">
        <v>0</v>
      </c>
      <c r="K341" s="162">
        <v>0</v>
      </c>
      <c r="L341" s="61">
        <v>0</v>
      </c>
      <c r="M341" s="61">
        <v>0</v>
      </c>
      <c r="N341" s="54"/>
      <c r="O341" s="43"/>
    </row>
    <row r="342" spans="1:15" s="38" customFormat="1" ht="12" x14ac:dyDescent="0.2">
      <c r="A342" s="43">
        <v>254</v>
      </c>
      <c r="B342" s="61" t="s">
        <v>11</v>
      </c>
      <c r="C342" s="69">
        <f t="shared" si="233"/>
        <v>350000</v>
      </c>
      <c r="D342" s="61">
        <v>50000</v>
      </c>
      <c r="E342" s="61">
        <v>0</v>
      </c>
      <c r="F342" s="61">
        <v>0</v>
      </c>
      <c r="G342" s="126">
        <f>100000</f>
        <v>100000</v>
      </c>
      <c r="H342" s="126">
        <f>50000</f>
        <v>50000</v>
      </c>
      <c r="I342" s="162">
        <v>50000</v>
      </c>
      <c r="J342" s="162">
        <v>50000</v>
      </c>
      <c r="K342" s="162">
        <v>50000</v>
      </c>
      <c r="L342" s="61">
        <v>0</v>
      </c>
      <c r="M342" s="61">
        <v>0</v>
      </c>
      <c r="N342" s="54"/>
      <c r="O342" s="43"/>
    </row>
    <row r="343" spans="1:15" s="38" customFormat="1" ht="12" x14ac:dyDescent="0.2">
      <c r="A343" s="43">
        <v>255</v>
      </c>
      <c r="B343" s="61" t="s">
        <v>12</v>
      </c>
      <c r="C343" s="69">
        <f t="shared" si="233"/>
        <v>0</v>
      </c>
      <c r="D343" s="61">
        <v>0</v>
      </c>
      <c r="E343" s="61">
        <v>0</v>
      </c>
      <c r="F343" s="61">
        <v>0</v>
      </c>
      <c r="G343" s="126">
        <v>0</v>
      </c>
      <c r="H343" s="126">
        <v>0</v>
      </c>
      <c r="I343" s="162">
        <v>0</v>
      </c>
      <c r="J343" s="162">
        <v>0</v>
      </c>
      <c r="K343" s="162">
        <v>0</v>
      </c>
      <c r="L343" s="61">
        <v>0</v>
      </c>
      <c r="M343" s="61">
        <v>0</v>
      </c>
      <c r="N343" s="54"/>
      <c r="O343" s="43"/>
    </row>
    <row r="344" spans="1:15" s="38" customFormat="1" ht="84" x14ac:dyDescent="0.2">
      <c r="A344" s="43">
        <v>249</v>
      </c>
      <c r="B344" s="61" t="s">
        <v>41</v>
      </c>
      <c r="C344" s="69">
        <f t="shared" si="233"/>
        <v>8500</v>
      </c>
      <c r="D344" s="69">
        <f t="shared" ref="D344:I344" si="244">SUM(D345:D347)</f>
        <v>1500</v>
      </c>
      <c r="E344" s="69">
        <f t="shared" si="244"/>
        <v>1500</v>
      </c>
      <c r="F344" s="69">
        <f t="shared" si="244"/>
        <v>2000</v>
      </c>
      <c r="G344" s="85">
        <f t="shared" si="244"/>
        <v>1500</v>
      </c>
      <c r="H344" s="85">
        <f t="shared" si="244"/>
        <v>2000</v>
      </c>
      <c r="I344" s="77">
        <f t="shared" si="244"/>
        <v>0</v>
      </c>
      <c r="J344" s="77">
        <f t="shared" ref="J344:M344" si="245">SUM(J345:J347)</f>
        <v>0</v>
      </c>
      <c r="K344" s="77">
        <f t="shared" si="245"/>
        <v>0</v>
      </c>
      <c r="L344" s="69">
        <f t="shared" si="245"/>
        <v>0</v>
      </c>
      <c r="M344" s="69">
        <f t="shared" si="245"/>
        <v>0</v>
      </c>
      <c r="N344" s="54" t="s">
        <v>185</v>
      </c>
      <c r="O344" s="43"/>
    </row>
    <row r="345" spans="1:15" s="38" customFormat="1" ht="12" x14ac:dyDescent="0.2">
      <c r="A345" s="43">
        <v>250</v>
      </c>
      <c r="B345" s="61" t="s">
        <v>10</v>
      </c>
      <c r="C345" s="69">
        <f t="shared" si="233"/>
        <v>0</v>
      </c>
      <c r="D345" s="69"/>
      <c r="E345" s="69"/>
      <c r="F345" s="69"/>
      <c r="G345" s="85"/>
      <c r="H345" s="85"/>
      <c r="I345" s="77"/>
      <c r="J345" s="77"/>
      <c r="K345" s="77"/>
      <c r="L345" s="69"/>
      <c r="M345" s="69"/>
      <c r="N345" s="54"/>
      <c r="O345" s="43"/>
    </row>
    <row r="346" spans="1:15" s="38" customFormat="1" ht="12" x14ac:dyDescent="0.2">
      <c r="A346" s="43">
        <v>251</v>
      </c>
      <c r="B346" s="61" t="s">
        <v>11</v>
      </c>
      <c r="C346" s="69">
        <f t="shared" si="233"/>
        <v>8500</v>
      </c>
      <c r="D346" s="69">
        <v>1500</v>
      </c>
      <c r="E346" s="69">
        <v>1500</v>
      </c>
      <c r="F346" s="69">
        <v>2000</v>
      </c>
      <c r="G346" s="85">
        <v>1500</v>
      </c>
      <c r="H346" s="85">
        <v>2000</v>
      </c>
      <c r="I346" s="77"/>
      <c r="J346" s="77"/>
      <c r="K346" s="77"/>
      <c r="L346" s="69"/>
      <c r="M346" s="69"/>
      <c r="N346" s="54"/>
      <c r="O346" s="43"/>
    </row>
    <row r="347" spans="1:15" s="38" customFormat="1" ht="12" x14ac:dyDescent="0.2">
      <c r="A347" s="43">
        <v>252</v>
      </c>
      <c r="B347" s="61" t="s">
        <v>12</v>
      </c>
      <c r="C347" s="69">
        <f t="shared" si="233"/>
        <v>0</v>
      </c>
      <c r="D347" s="69"/>
      <c r="E347" s="69"/>
      <c r="F347" s="69"/>
      <c r="G347" s="85"/>
      <c r="H347" s="85"/>
      <c r="I347" s="77"/>
      <c r="J347" s="77"/>
      <c r="K347" s="77"/>
      <c r="L347" s="69"/>
      <c r="M347" s="69"/>
      <c r="N347" s="54"/>
      <c r="O347" s="43"/>
    </row>
    <row r="348" spans="1:15" s="38" customFormat="1" ht="108" x14ac:dyDescent="0.2">
      <c r="A348" s="43">
        <v>253</v>
      </c>
      <c r="B348" s="61" t="s">
        <v>42</v>
      </c>
      <c r="C348" s="69">
        <f t="shared" si="233"/>
        <v>2400</v>
      </c>
      <c r="D348" s="69">
        <f t="shared" ref="D348:I348" si="246">SUM(D349:D350)</f>
        <v>300</v>
      </c>
      <c r="E348" s="69">
        <f t="shared" si="246"/>
        <v>350</v>
      </c>
      <c r="F348" s="69">
        <f t="shared" si="246"/>
        <v>1250</v>
      </c>
      <c r="G348" s="85">
        <f t="shared" si="246"/>
        <v>500</v>
      </c>
      <c r="H348" s="120">
        <f t="shared" si="246"/>
        <v>0</v>
      </c>
      <c r="I348" s="155">
        <f t="shared" si="246"/>
        <v>0</v>
      </c>
      <c r="J348" s="155">
        <f t="shared" ref="J348:M348" si="247">SUM(J349:J350)</f>
        <v>0</v>
      </c>
      <c r="K348" s="155">
        <f t="shared" si="247"/>
        <v>0</v>
      </c>
      <c r="L348" s="68">
        <f t="shared" si="247"/>
        <v>0</v>
      </c>
      <c r="M348" s="68">
        <f t="shared" si="247"/>
        <v>0</v>
      </c>
      <c r="N348" s="54"/>
      <c r="O348" s="43"/>
    </row>
    <row r="349" spans="1:15" s="38" customFormat="1" ht="12" x14ac:dyDescent="0.2">
      <c r="A349" s="43">
        <v>254</v>
      </c>
      <c r="B349" s="61" t="s">
        <v>10</v>
      </c>
      <c r="C349" s="69">
        <f t="shared" si="233"/>
        <v>0</v>
      </c>
      <c r="D349" s="69"/>
      <c r="E349" s="69"/>
      <c r="F349" s="69"/>
      <c r="G349" s="85"/>
      <c r="H349" s="85"/>
      <c r="I349" s="77"/>
      <c r="J349" s="77"/>
      <c r="K349" s="77"/>
      <c r="L349" s="69"/>
      <c r="M349" s="69"/>
      <c r="N349" s="54" t="s">
        <v>185</v>
      </c>
      <c r="O349" s="43"/>
    </row>
    <row r="350" spans="1:15" s="38" customFormat="1" ht="12" x14ac:dyDescent="0.2">
      <c r="A350" s="43">
        <v>255</v>
      </c>
      <c r="B350" s="61" t="s">
        <v>11</v>
      </c>
      <c r="C350" s="69">
        <f t="shared" si="233"/>
        <v>2400</v>
      </c>
      <c r="D350" s="69">
        <v>300</v>
      </c>
      <c r="E350" s="69">
        <v>350</v>
      </c>
      <c r="F350" s="69">
        <v>1250</v>
      </c>
      <c r="G350" s="85">
        <v>500</v>
      </c>
      <c r="H350" s="85"/>
      <c r="I350" s="77"/>
      <c r="J350" s="77"/>
      <c r="K350" s="77"/>
      <c r="L350" s="69"/>
      <c r="M350" s="69"/>
      <c r="N350" s="54"/>
      <c r="O350" s="43"/>
    </row>
    <row r="351" spans="1:15" s="38" customFormat="1" ht="12" x14ac:dyDescent="0.2">
      <c r="A351" s="43">
        <v>256</v>
      </c>
      <c r="B351" s="61" t="s">
        <v>12</v>
      </c>
      <c r="C351" s="69">
        <f t="shared" si="233"/>
        <v>0</v>
      </c>
      <c r="D351" s="69"/>
      <c r="E351" s="69"/>
      <c r="F351" s="69"/>
      <c r="G351" s="85"/>
      <c r="H351" s="85"/>
      <c r="I351" s="77"/>
      <c r="J351" s="77"/>
      <c r="K351" s="77"/>
      <c r="L351" s="69"/>
      <c r="M351" s="69"/>
      <c r="N351" s="54"/>
      <c r="O351" s="43"/>
    </row>
    <row r="352" spans="1:15" s="38" customFormat="1" ht="60" x14ac:dyDescent="0.2">
      <c r="A352" s="43">
        <v>256</v>
      </c>
      <c r="B352" s="65" t="s">
        <v>236</v>
      </c>
      <c r="C352" s="132">
        <f t="shared" si="233"/>
        <v>400000</v>
      </c>
      <c r="D352" s="73">
        <f t="shared" ref="D352:I352" si="248">SUM(D354:D356)</f>
        <v>0</v>
      </c>
      <c r="E352" s="73">
        <f t="shared" si="248"/>
        <v>0</v>
      </c>
      <c r="F352" s="73">
        <f t="shared" si="248"/>
        <v>0</v>
      </c>
      <c r="G352" s="122">
        <f t="shared" si="248"/>
        <v>400000</v>
      </c>
      <c r="H352" s="122">
        <f t="shared" si="248"/>
        <v>0</v>
      </c>
      <c r="I352" s="156">
        <f t="shared" si="248"/>
        <v>0</v>
      </c>
      <c r="J352" s="156">
        <f t="shared" ref="J352:M352" si="249">SUM(J354:J356)</f>
        <v>0</v>
      </c>
      <c r="K352" s="156">
        <f t="shared" si="249"/>
        <v>0</v>
      </c>
      <c r="L352" s="73">
        <f t="shared" si="249"/>
        <v>0</v>
      </c>
      <c r="M352" s="73">
        <f t="shared" si="249"/>
        <v>0</v>
      </c>
      <c r="N352" s="54" t="s">
        <v>184</v>
      </c>
      <c r="O352" s="43" t="s">
        <v>149</v>
      </c>
    </row>
    <row r="353" spans="1:15" s="38" customFormat="1" ht="12" x14ac:dyDescent="0.2">
      <c r="A353" s="43">
        <v>257</v>
      </c>
      <c r="B353" s="61" t="s">
        <v>59</v>
      </c>
      <c r="C353" s="69">
        <f t="shared" si="233"/>
        <v>0</v>
      </c>
      <c r="D353" s="61">
        <v>0</v>
      </c>
      <c r="E353" s="61">
        <v>0</v>
      </c>
      <c r="F353" s="61">
        <v>0</v>
      </c>
      <c r="G353" s="126">
        <v>0</v>
      </c>
      <c r="H353" s="126">
        <v>0</v>
      </c>
      <c r="I353" s="162">
        <v>0</v>
      </c>
      <c r="J353" s="162">
        <v>0</v>
      </c>
      <c r="K353" s="162">
        <v>0</v>
      </c>
      <c r="L353" s="61">
        <v>0</v>
      </c>
      <c r="M353" s="61">
        <v>0</v>
      </c>
      <c r="N353" s="54"/>
      <c r="O353" s="43"/>
    </row>
    <row r="354" spans="1:15" s="38" customFormat="1" ht="12" x14ac:dyDescent="0.2">
      <c r="A354" s="43">
        <v>258</v>
      </c>
      <c r="B354" s="61" t="s">
        <v>10</v>
      </c>
      <c r="C354" s="69">
        <f t="shared" si="233"/>
        <v>400000</v>
      </c>
      <c r="D354" s="61"/>
      <c r="E354" s="61">
        <v>0</v>
      </c>
      <c r="F354" s="61">
        <v>0</v>
      </c>
      <c r="G354" s="126">
        <v>400000</v>
      </c>
      <c r="H354" s="126">
        <v>0</v>
      </c>
      <c r="I354" s="162">
        <v>0</v>
      </c>
      <c r="J354" s="162">
        <v>0</v>
      </c>
      <c r="K354" s="162">
        <v>0</v>
      </c>
      <c r="L354" s="61">
        <v>0</v>
      </c>
      <c r="M354" s="61">
        <v>0</v>
      </c>
      <c r="O354" s="43"/>
    </row>
    <row r="355" spans="1:15" s="38" customFormat="1" ht="12" x14ac:dyDescent="0.2">
      <c r="A355" s="43">
        <v>259</v>
      </c>
      <c r="B355" s="61" t="s">
        <v>11</v>
      </c>
      <c r="C355" s="69">
        <f t="shared" si="233"/>
        <v>0</v>
      </c>
      <c r="D355" s="61">
        <v>0</v>
      </c>
      <c r="E355" s="61">
        <v>0</v>
      </c>
      <c r="F355" s="61">
        <v>0</v>
      </c>
      <c r="G355" s="126">
        <f>300000-300000</f>
        <v>0</v>
      </c>
      <c r="H355" s="126">
        <v>0</v>
      </c>
      <c r="I355" s="162">
        <f>300000-300000</f>
        <v>0</v>
      </c>
      <c r="J355" s="162">
        <f>300000-300000</f>
        <v>0</v>
      </c>
      <c r="K355" s="162">
        <f>300000-300000</f>
        <v>0</v>
      </c>
      <c r="L355" s="61">
        <f>300000-300000</f>
        <v>0</v>
      </c>
      <c r="M355" s="61">
        <f>300000-300000</f>
        <v>0</v>
      </c>
      <c r="N355" s="54"/>
      <c r="O355" s="43"/>
    </row>
    <row r="356" spans="1:15" s="38" customFormat="1" ht="12" x14ac:dyDescent="0.2">
      <c r="A356" s="43">
        <v>260</v>
      </c>
      <c r="B356" s="61" t="s">
        <v>12</v>
      </c>
      <c r="C356" s="69">
        <f t="shared" si="233"/>
        <v>0</v>
      </c>
      <c r="D356" s="61">
        <v>0</v>
      </c>
      <c r="E356" s="61">
        <v>0</v>
      </c>
      <c r="F356" s="61">
        <v>0</v>
      </c>
      <c r="G356" s="126">
        <v>0</v>
      </c>
      <c r="H356" s="126">
        <v>0</v>
      </c>
      <c r="I356" s="162">
        <v>0</v>
      </c>
      <c r="J356" s="162">
        <v>0</v>
      </c>
      <c r="K356" s="162">
        <v>0</v>
      </c>
      <c r="L356" s="61">
        <v>0</v>
      </c>
      <c r="M356" s="61">
        <v>0</v>
      </c>
      <c r="N356" s="54"/>
      <c r="O356" s="43"/>
    </row>
    <row r="357" spans="1:15" s="38" customFormat="1" ht="60" x14ac:dyDescent="0.2">
      <c r="A357" s="43">
        <v>261</v>
      </c>
      <c r="B357" s="65" t="s">
        <v>224</v>
      </c>
      <c r="C357" s="132">
        <f t="shared" si="233"/>
        <v>105000</v>
      </c>
      <c r="D357" s="73">
        <f t="shared" ref="D357:I357" si="250">SUM(D359:D361)</f>
        <v>0</v>
      </c>
      <c r="E357" s="73">
        <f t="shared" si="250"/>
        <v>50000</v>
      </c>
      <c r="F357" s="73">
        <f t="shared" si="250"/>
        <v>55000</v>
      </c>
      <c r="G357" s="122">
        <f t="shared" si="250"/>
        <v>0</v>
      </c>
      <c r="H357" s="122">
        <f t="shared" si="250"/>
        <v>0</v>
      </c>
      <c r="I357" s="156">
        <f t="shared" si="250"/>
        <v>0</v>
      </c>
      <c r="J357" s="156">
        <f t="shared" ref="J357:M357" si="251">SUM(J359:J361)</f>
        <v>0</v>
      </c>
      <c r="K357" s="156">
        <f t="shared" si="251"/>
        <v>0</v>
      </c>
      <c r="L357" s="73">
        <f t="shared" si="251"/>
        <v>0</v>
      </c>
      <c r="M357" s="73">
        <f t="shared" si="251"/>
        <v>0</v>
      </c>
      <c r="N357" s="54" t="s">
        <v>184</v>
      </c>
      <c r="O357" s="43" t="s">
        <v>149</v>
      </c>
    </row>
    <row r="358" spans="1:15" s="38" customFormat="1" ht="12" x14ac:dyDescent="0.2">
      <c r="A358" s="43">
        <v>262</v>
      </c>
      <c r="B358" s="61" t="s">
        <v>59</v>
      </c>
      <c r="C358" s="69">
        <f t="shared" si="233"/>
        <v>0</v>
      </c>
      <c r="D358" s="69">
        <v>0</v>
      </c>
      <c r="E358" s="69">
        <v>0</v>
      </c>
      <c r="F358" s="69">
        <v>0</v>
      </c>
      <c r="G358" s="85">
        <v>0</v>
      </c>
      <c r="H358" s="85">
        <v>0</v>
      </c>
      <c r="I358" s="77">
        <v>0</v>
      </c>
      <c r="J358" s="77">
        <v>0</v>
      </c>
      <c r="K358" s="77">
        <v>0</v>
      </c>
      <c r="L358" s="69">
        <v>0</v>
      </c>
      <c r="M358" s="69">
        <v>0</v>
      </c>
      <c r="N358" s="54"/>
      <c r="O358" s="43"/>
    </row>
    <row r="359" spans="1:15" s="38" customFormat="1" ht="12" x14ac:dyDescent="0.2">
      <c r="A359" s="43">
        <v>263</v>
      </c>
      <c r="B359" s="61" t="s">
        <v>10</v>
      </c>
      <c r="C359" s="69">
        <f t="shared" si="233"/>
        <v>0</v>
      </c>
      <c r="D359" s="61">
        <v>0</v>
      </c>
      <c r="E359" s="61">
        <v>0</v>
      </c>
      <c r="F359" s="61">
        <v>0</v>
      </c>
      <c r="G359" s="126">
        <v>0</v>
      </c>
      <c r="H359" s="126">
        <v>0</v>
      </c>
      <c r="I359" s="162">
        <v>0</v>
      </c>
      <c r="J359" s="162">
        <v>0</v>
      </c>
      <c r="K359" s="162">
        <v>0</v>
      </c>
      <c r="L359" s="61">
        <v>0</v>
      </c>
      <c r="M359" s="61">
        <v>0</v>
      </c>
      <c r="O359" s="43"/>
    </row>
    <row r="360" spans="1:15" s="38" customFormat="1" ht="12" x14ac:dyDescent="0.2">
      <c r="A360" s="43">
        <v>264</v>
      </c>
      <c r="B360" s="61" t="s">
        <v>11</v>
      </c>
      <c r="C360" s="69">
        <f t="shared" si="233"/>
        <v>105000</v>
      </c>
      <c r="D360" s="69">
        <v>0</v>
      </c>
      <c r="E360" s="69">
        <v>50000</v>
      </c>
      <c r="F360" s="69">
        <v>55000</v>
      </c>
      <c r="G360" s="85">
        <f>20000+35000-55000</f>
        <v>0</v>
      </c>
      <c r="H360" s="85">
        <f>20000+35000-20000-35000</f>
        <v>0</v>
      </c>
      <c r="I360" s="77">
        <f>20000-20000</f>
        <v>0</v>
      </c>
      <c r="J360" s="77">
        <f>20000-20000</f>
        <v>0</v>
      </c>
      <c r="K360" s="77">
        <f>20000-20000</f>
        <v>0</v>
      </c>
      <c r="L360" s="69">
        <f>20000-20000</f>
        <v>0</v>
      </c>
      <c r="M360" s="69">
        <f>20000-20000</f>
        <v>0</v>
      </c>
      <c r="N360" s="54"/>
      <c r="O360" s="43"/>
    </row>
    <row r="361" spans="1:15" s="38" customFormat="1" ht="12" x14ac:dyDescent="0.2">
      <c r="A361" s="43">
        <v>265</v>
      </c>
      <c r="B361" s="61" t="s">
        <v>12</v>
      </c>
      <c r="C361" s="69">
        <f t="shared" si="233"/>
        <v>0</v>
      </c>
      <c r="D361" s="61">
        <v>0</v>
      </c>
      <c r="E361" s="61">
        <v>0</v>
      </c>
      <c r="F361" s="61">
        <v>0</v>
      </c>
      <c r="G361" s="126">
        <v>0</v>
      </c>
      <c r="H361" s="126">
        <v>0</v>
      </c>
      <c r="I361" s="162">
        <v>0</v>
      </c>
      <c r="J361" s="162">
        <v>0</v>
      </c>
      <c r="K361" s="162">
        <v>0</v>
      </c>
      <c r="L361" s="61">
        <v>0</v>
      </c>
      <c r="M361" s="61">
        <v>0</v>
      </c>
      <c r="N361" s="54"/>
      <c r="O361" s="43"/>
    </row>
    <row r="362" spans="1:15" s="38" customFormat="1" ht="60" x14ac:dyDescent="0.2">
      <c r="A362" s="43">
        <v>266</v>
      </c>
      <c r="B362" s="92" t="s">
        <v>235</v>
      </c>
      <c r="C362" s="132">
        <f t="shared" si="233"/>
        <v>485000</v>
      </c>
      <c r="D362" s="73">
        <f t="shared" ref="D362:I362" si="252">SUM(D364:D366)</f>
        <v>0</v>
      </c>
      <c r="E362" s="73">
        <f t="shared" si="252"/>
        <v>0</v>
      </c>
      <c r="F362" s="73">
        <f t="shared" si="252"/>
        <v>0</v>
      </c>
      <c r="G362" s="122">
        <f t="shared" si="252"/>
        <v>0</v>
      </c>
      <c r="H362" s="122">
        <f t="shared" si="252"/>
        <v>35000</v>
      </c>
      <c r="I362" s="156">
        <f t="shared" si="252"/>
        <v>150000</v>
      </c>
      <c r="J362" s="156">
        <f t="shared" ref="J362:M362" si="253">SUM(J364:J366)</f>
        <v>150000</v>
      </c>
      <c r="K362" s="156">
        <f t="shared" si="253"/>
        <v>150000</v>
      </c>
      <c r="L362" s="73">
        <f t="shared" si="253"/>
        <v>0</v>
      </c>
      <c r="M362" s="73">
        <f t="shared" si="253"/>
        <v>0</v>
      </c>
      <c r="N362" s="54" t="s">
        <v>184</v>
      </c>
      <c r="O362" s="43" t="s">
        <v>149</v>
      </c>
    </row>
    <row r="363" spans="1:15" s="38" customFormat="1" ht="12" x14ac:dyDescent="0.2">
      <c r="A363" s="43">
        <v>267</v>
      </c>
      <c r="B363" s="61" t="s">
        <v>59</v>
      </c>
      <c r="C363" s="69">
        <f t="shared" si="233"/>
        <v>0</v>
      </c>
      <c r="D363" s="69">
        <v>0</v>
      </c>
      <c r="E363" s="69">
        <v>0</v>
      </c>
      <c r="F363" s="69">
        <v>0</v>
      </c>
      <c r="G363" s="85">
        <v>0</v>
      </c>
      <c r="H363" s="85">
        <v>0</v>
      </c>
      <c r="I363" s="77">
        <v>0</v>
      </c>
      <c r="J363" s="77">
        <v>0</v>
      </c>
      <c r="K363" s="77">
        <v>0</v>
      </c>
      <c r="L363" s="69">
        <v>0</v>
      </c>
      <c r="M363" s="69">
        <v>0</v>
      </c>
      <c r="N363" s="54"/>
      <c r="O363" s="43"/>
    </row>
    <row r="364" spans="1:15" s="38" customFormat="1" ht="12" x14ac:dyDescent="0.2">
      <c r="A364" s="43">
        <v>268</v>
      </c>
      <c r="B364" s="61" t="s">
        <v>10</v>
      </c>
      <c r="C364" s="69">
        <f t="shared" si="233"/>
        <v>0</v>
      </c>
      <c r="D364" s="69">
        <v>0</v>
      </c>
      <c r="E364" s="69">
        <v>0</v>
      </c>
      <c r="F364" s="69">
        <v>0</v>
      </c>
      <c r="G364" s="85">
        <v>0</v>
      </c>
      <c r="H364" s="85">
        <v>0</v>
      </c>
      <c r="I364" s="77">
        <v>0</v>
      </c>
      <c r="J364" s="77">
        <v>0</v>
      </c>
      <c r="K364" s="77">
        <v>0</v>
      </c>
      <c r="L364" s="69">
        <v>0</v>
      </c>
      <c r="M364" s="69">
        <v>0</v>
      </c>
      <c r="N364" s="54"/>
      <c r="O364" s="43"/>
    </row>
    <row r="365" spans="1:15" s="38" customFormat="1" ht="12" x14ac:dyDescent="0.2">
      <c r="A365" s="43">
        <v>269</v>
      </c>
      <c r="B365" s="61" t="s">
        <v>11</v>
      </c>
      <c r="C365" s="69">
        <f t="shared" si="233"/>
        <v>485000</v>
      </c>
      <c r="D365" s="69">
        <v>0</v>
      </c>
      <c r="E365" s="69">
        <v>0</v>
      </c>
      <c r="F365" s="69">
        <v>0</v>
      </c>
      <c r="G365" s="85">
        <f>50000-50000</f>
        <v>0</v>
      </c>
      <c r="H365" s="85">
        <f>35000</f>
        <v>35000</v>
      </c>
      <c r="I365" s="77">
        <v>150000</v>
      </c>
      <c r="J365" s="77">
        <v>150000</v>
      </c>
      <c r="K365" s="77">
        <v>150000</v>
      </c>
      <c r="L365" s="69">
        <f>50000-50000</f>
        <v>0</v>
      </c>
      <c r="M365" s="69">
        <f>50000-50000</f>
        <v>0</v>
      </c>
      <c r="N365" s="79"/>
      <c r="O365" s="43"/>
    </row>
    <row r="366" spans="1:15" s="38" customFormat="1" ht="12" x14ac:dyDescent="0.2">
      <c r="A366" s="43">
        <v>270</v>
      </c>
      <c r="B366" s="61" t="s">
        <v>12</v>
      </c>
      <c r="C366" s="69">
        <f t="shared" si="233"/>
        <v>0</v>
      </c>
      <c r="D366" s="69"/>
      <c r="E366" s="69"/>
      <c r="F366" s="69"/>
      <c r="G366" s="85"/>
      <c r="H366" s="85"/>
      <c r="I366" s="77"/>
      <c r="J366" s="77"/>
      <c r="K366" s="77"/>
      <c r="L366" s="69"/>
      <c r="M366" s="69"/>
      <c r="N366" s="79"/>
      <c r="O366" s="43"/>
    </row>
    <row r="367" spans="1:15" s="38" customFormat="1" ht="60" x14ac:dyDescent="0.2">
      <c r="A367" s="43">
        <v>271</v>
      </c>
      <c r="B367" s="65" t="s">
        <v>223</v>
      </c>
      <c r="C367" s="132">
        <f t="shared" si="233"/>
        <v>0</v>
      </c>
      <c r="D367" s="73">
        <f t="shared" ref="D367:I367" si="254">SUM(D369:D371)</f>
        <v>0</v>
      </c>
      <c r="E367" s="73">
        <f t="shared" si="254"/>
        <v>0</v>
      </c>
      <c r="F367" s="73">
        <f t="shared" si="254"/>
        <v>0</v>
      </c>
      <c r="G367" s="122">
        <f t="shared" si="254"/>
        <v>0</v>
      </c>
      <c r="H367" s="122">
        <f t="shared" si="254"/>
        <v>0</v>
      </c>
      <c r="I367" s="156">
        <f t="shared" si="254"/>
        <v>0</v>
      </c>
      <c r="J367" s="156">
        <f t="shared" ref="J367:M367" si="255">SUM(J369:J371)</f>
        <v>0</v>
      </c>
      <c r="K367" s="156">
        <f t="shared" si="255"/>
        <v>0</v>
      </c>
      <c r="L367" s="73">
        <f t="shared" si="255"/>
        <v>0</v>
      </c>
      <c r="M367" s="73">
        <f t="shared" si="255"/>
        <v>0</v>
      </c>
      <c r="N367" s="54" t="s">
        <v>184</v>
      </c>
      <c r="O367" s="43" t="s">
        <v>149</v>
      </c>
    </row>
    <row r="368" spans="1:15" s="38" customFormat="1" ht="12" x14ac:dyDescent="0.2">
      <c r="A368" s="43">
        <v>272</v>
      </c>
      <c r="B368" s="61" t="s">
        <v>59</v>
      </c>
      <c r="C368" s="69">
        <f t="shared" si="233"/>
        <v>0</v>
      </c>
      <c r="D368" s="69">
        <v>0</v>
      </c>
      <c r="E368" s="69">
        <v>0</v>
      </c>
      <c r="F368" s="69">
        <v>0</v>
      </c>
      <c r="G368" s="85">
        <v>0</v>
      </c>
      <c r="H368" s="85">
        <v>0</v>
      </c>
      <c r="I368" s="77">
        <v>0</v>
      </c>
      <c r="J368" s="77">
        <v>0</v>
      </c>
      <c r="K368" s="77">
        <v>0</v>
      </c>
      <c r="L368" s="69">
        <v>0</v>
      </c>
      <c r="M368" s="69">
        <v>0</v>
      </c>
      <c r="N368" s="79"/>
      <c r="O368" s="43"/>
    </row>
    <row r="369" spans="1:15" s="38" customFormat="1" ht="12" x14ac:dyDescent="0.2">
      <c r="A369" s="43">
        <v>273</v>
      </c>
      <c r="B369" s="61" t="s">
        <v>10</v>
      </c>
      <c r="C369" s="69">
        <f t="shared" si="233"/>
        <v>0</v>
      </c>
      <c r="D369" s="69">
        <v>0</v>
      </c>
      <c r="E369" s="69">
        <v>0</v>
      </c>
      <c r="F369" s="69">
        <v>0</v>
      </c>
      <c r="G369" s="85">
        <v>0</v>
      </c>
      <c r="H369" s="85">
        <v>0</v>
      </c>
      <c r="I369" s="77">
        <v>0</v>
      </c>
      <c r="J369" s="77">
        <v>0</v>
      </c>
      <c r="K369" s="77">
        <v>0</v>
      </c>
      <c r="L369" s="69">
        <v>0</v>
      </c>
      <c r="M369" s="69">
        <v>0</v>
      </c>
      <c r="N369" s="79"/>
      <c r="O369" s="43"/>
    </row>
    <row r="370" spans="1:15" s="38" customFormat="1" ht="12" x14ac:dyDescent="0.2">
      <c r="A370" s="43">
        <v>274</v>
      </c>
      <c r="B370" s="61" t="s">
        <v>11</v>
      </c>
      <c r="C370" s="69">
        <f t="shared" si="233"/>
        <v>0</v>
      </c>
      <c r="D370" s="69">
        <v>0</v>
      </c>
      <c r="E370" s="69">
        <v>0</v>
      </c>
      <c r="F370" s="69">
        <v>0</v>
      </c>
      <c r="G370" s="85">
        <f>10000-10000</f>
        <v>0</v>
      </c>
      <c r="H370" s="85">
        <v>0</v>
      </c>
      <c r="I370" s="77">
        <f>10000-10000</f>
        <v>0</v>
      </c>
      <c r="J370" s="77">
        <f>10000-10000</f>
        <v>0</v>
      </c>
      <c r="K370" s="77">
        <f>10000-10000</f>
        <v>0</v>
      </c>
      <c r="L370" s="69">
        <f>10000-10000</f>
        <v>0</v>
      </c>
      <c r="M370" s="69">
        <f>10000-10000</f>
        <v>0</v>
      </c>
      <c r="N370" s="79"/>
      <c r="O370" s="43"/>
    </row>
    <row r="371" spans="1:15" s="38" customFormat="1" ht="12" x14ac:dyDescent="0.2">
      <c r="A371" s="43">
        <v>275</v>
      </c>
      <c r="B371" s="61" t="s">
        <v>12</v>
      </c>
      <c r="C371" s="69">
        <f t="shared" si="233"/>
        <v>0</v>
      </c>
      <c r="D371" s="61">
        <v>0</v>
      </c>
      <c r="E371" s="61">
        <v>0</v>
      </c>
      <c r="F371" s="61">
        <v>0</v>
      </c>
      <c r="G371" s="126">
        <v>0</v>
      </c>
      <c r="H371" s="126">
        <v>0</v>
      </c>
      <c r="I371" s="162">
        <v>0</v>
      </c>
      <c r="J371" s="162">
        <v>0</v>
      </c>
      <c r="K371" s="162">
        <v>0</v>
      </c>
      <c r="L371" s="61">
        <v>0</v>
      </c>
      <c r="M371" s="61">
        <v>0</v>
      </c>
      <c r="N371" s="79"/>
      <c r="O371" s="43"/>
    </row>
    <row r="372" spans="1:15" s="38" customFormat="1" ht="12" x14ac:dyDescent="0.2">
      <c r="A372" s="43">
        <v>276</v>
      </c>
      <c r="B372" s="231" t="s">
        <v>16</v>
      </c>
      <c r="C372" s="232"/>
      <c r="D372" s="232"/>
      <c r="E372" s="232"/>
      <c r="F372" s="232"/>
      <c r="G372" s="232"/>
      <c r="H372" s="232"/>
      <c r="I372" s="232"/>
      <c r="J372" s="232"/>
      <c r="K372" s="232"/>
      <c r="L372" s="232"/>
      <c r="M372" s="232"/>
      <c r="N372" s="233"/>
      <c r="O372" s="43"/>
    </row>
    <row r="373" spans="1:15" s="38" customFormat="1" ht="12" x14ac:dyDescent="0.2">
      <c r="A373" s="43">
        <v>277</v>
      </c>
      <c r="B373" s="57" t="s">
        <v>40</v>
      </c>
      <c r="C373" s="132">
        <f>SUM(D373:M373)</f>
        <v>1122338.23</v>
      </c>
      <c r="D373" s="68">
        <f t="shared" ref="D373:I373" si="256">SUM(D375:D377)</f>
        <v>118000</v>
      </c>
      <c r="E373" s="68">
        <f t="shared" si="256"/>
        <v>160311.04000000001</v>
      </c>
      <c r="F373" s="68">
        <f t="shared" si="256"/>
        <v>87083.73000000001</v>
      </c>
      <c r="G373" s="120">
        <f t="shared" si="256"/>
        <v>60000</v>
      </c>
      <c r="H373" s="120">
        <f t="shared" si="256"/>
        <v>160000</v>
      </c>
      <c r="I373" s="155">
        <f t="shared" si="256"/>
        <v>336943.46</v>
      </c>
      <c r="J373" s="155">
        <f t="shared" ref="J373:M373" si="257">SUM(J375:J377)</f>
        <v>60000</v>
      </c>
      <c r="K373" s="155">
        <f t="shared" si="257"/>
        <v>60000</v>
      </c>
      <c r="L373" s="68">
        <f t="shared" si="257"/>
        <v>40000</v>
      </c>
      <c r="M373" s="68">
        <f t="shared" si="257"/>
        <v>40000</v>
      </c>
      <c r="N373" s="79"/>
      <c r="O373" s="43"/>
    </row>
    <row r="374" spans="1:15" s="38" customFormat="1" ht="12" x14ac:dyDescent="0.2">
      <c r="A374" s="43">
        <v>278</v>
      </c>
      <c r="B374" s="61" t="s">
        <v>59</v>
      </c>
      <c r="C374" s="69">
        <f>SUM(D374:M374)</f>
        <v>0</v>
      </c>
      <c r="D374" s="69">
        <v>0</v>
      </c>
      <c r="E374" s="69">
        <v>0</v>
      </c>
      <c r="F374" s="69">
        <v>0</v>
      </c>
      <c r="G374" s="85">
        <v>0</v>
      </c>
      <c r="H374" s="85">
        <v>0</v>
      </c>
      <c r="I374" s="77">
        <v>0</v>
      </c>
      <c r="J374" s="77">
        <v>0</v>
      </c>
      <c r="K374" s="77">
        <v>0</v>
      </c>
      <c r="L374" s="69">
        <v>0</v>
      </c>
      <c r="M374" s="69">
        <v>0</v>
      </c>
      <c r="N374" s="79"/>
      <c r="O374" s="43"/>
    </row>
    <row r="375" spans="1:15" s="38" customFormat="1" ht="12" x14ac:dyDescent="0.2">
      <c r="A375" s="43">
        <v>279</v>
      </c>
      <c r="B375" s="61" t="s">
        <v>10</v>
      </c>
      <c r="C375" s="69">
        <f>SUM(D375:M375)</f>
        <v>0</v>
      </c>
      <c r="D375" s="69">
        <f t="shared" ref="D375:I377" si="258">D381+D399</f>
        <v>0</v>
      </c>
      <c r="E375" s="69">
        <f t="shared" si="258"/>
        <v>0</v>
      </c>
      <c r="F375" s="69">
        <f t="shared" si="258"/>
        <v>0</v>
      </c>
      <c r="G375" s="85">
        <f t="shared" si="258"/>
        <v>0</v>
      </c>
      <c r="H375" s="85">
        <f t="shared" si="258"/>
        <v>0</v>
      </c>
      <c r="I375" s="77">
        <f t="shared" si="258"/>
        <v>0</v>
      </c>
      <c r="J375" s="77">
        <f t="shared" ref="J375:M375" si="259">J381+J399</f>
        <v>0</v>
      </c>
      <c r="K375" s="77">
        <f t="shared" si="259"/>
        <v>0</v>
      </c>
      <c r="L375" s="69">
        <f t="shared" si="259"/>
        <v>0</v>
      </c>
      <c r="M375" s="69">
        <f t="shared" si="259"/>
        <v>0</v>
      </c>
      <c r="N375" s="79"/>
      <c r="O375" s="43"/>
    </row>
    <row r="376" spans="1:15" s="38" customFormat="1" ht="12" x14ac:dyDescent="0.2">
      <c r="A376" s="43">
        <v>280</v>
      </c>
      <c r="B376" s="61" t="s">
        <v>11</v>
      </c>
      <c r="C376" s="69">
        <f>SUM(D376:M376)</f>
        <v>1122338.23</v>
      </c>
      <c r="D376" s="69">
        <f t="shared" si="258"/>
        <v>118000</v>
      </c>
      <c r="E376" s="69">
        <f t="shared" si="258"/>
        <v>160311.04000000001</v>
      </c>
      <c r="F376" s="69">
        <f t="shared" si="258"/>
        <v>87083.73000000001</v>
      </c>
      <c r="G376" s="85">
        <f t="shared" si="258"/>
        <v>60000</v>
      </c>
      <c r="H376" s="85">
        <f t="shared" si="258"/>
        <v>160000</v>
      </c>
      <c r="I376" s="77">
        <f t="shared" si="258"/>
        <v>336943.46</v>
      </c>
      <c r="J376" s="77">
        <f t="shared" ref="J376:M376" si="260">J382+J400</f>
        <v>60000</v>
      </c>
      <c r="K376" s="77">
        <f t="shared" si="260"/>
        <v>60000</v>
      </c>
      <c r="L376" s="69">
        <f t="shared" si="260"/>
        <v>40000</v>
      </c>
      <c r="M376" s="69">
        <f t="shared" si="260"/>
        <v>40000</v>
      </c>
      <c r="N376" s="79"/>
      <c r="O376" s="43"/>
    </row>
    <row r="377" spans="1:15" s="38" customFormat="1" ht="12" x14ac:dyDescent="0.2">
      <c r="A377" s="43">
        <v>281</v>
      </c>
      <c r="B377" s="61" t="s">
        <v>12</v>
      </c>
      <c r="C377" s="69">
        <f>SUM(D377:M377)</f>
        <v>0</v>
      </c>
      <c r="D377" s="69">
        <f t="shared" si="258"/>
        <v>0</v>
      </c>
      <c r="E377" s="69">
        <f t="shared" si="258"/>
        <v>0</v>
      </c>
      <c r="F377" s="69">
        <f t="shared" si="258"/>
        <v>0</v>
      </c>
      <c r="G377" s="85">
        <f t="shared" si="258"/>
        <v>0</v>
      </c>
      <c r="H377" s="85">
        <f t="shared" si="258"/>
        <v>0</v>
      </c>
      <c r="I377" s="77">
        <f t="shared" si="258"/>
        <v>0</v>
      </c>
      <c r="J377" s="77">
        <f t="shared" ref="J377:M377" si="261">J383+J401</f>
        <v>0</v>
      </c>
      <c r="K377" s="77">
        <f t="shared" si="261"/>
        <v>0</v>
      </c>
      <c r="L377" s="69">
        <f t="shared" si="261"/>
        <v>0</v>
      </c>
      <c r="M377" s="69">
        <f t="shared" si="261"/>
        <v>0</v>
      </c>
      <c r="N377" s="79"/>
      <c r="O377" s="43"/>
    </row>
    <row r="378" spans="1:15" s="38" customFormat="1" ht="12" x14ac:dyDescent="0.2">
      <c r="A378" s="43">
        <v>282</v>
      </c>
      <c r="B378" s="215" t="s">
        <v>60</v>
      </c>
      <c r="C378" s="216"/>
      <c r="D378" s="216"/>
      <c r="E378" s="216"/>
      <c r="F378" s="216"/>
      <c r="G378" s="216"/>
      <c r="H378" s="216"/>
      <c r="I378" s="216"/>
      <c r="J378" s="216"/>
      <c r="K378" s="216"/>
      <c r="L378" s="216"/>
      <c r="M378" s="216"/>
      <c r="N378" s="217"/>
      <c r="O378" s="43"/>
    </row>
    <row r="379" spans="1:15" s="38" customFormat="1" ht="36" x14ac:dyDescent="0.2">
      <c r="A379" s="43">
        <v>283</v>
      </c>
      <c r="B379" s="133" t="s">
        <v>62</v>
      </c>
      <c r="C379" s="137">
        <f>SUM(D379:M379)</f>
        <v>0</v>
      </c>
      <c r="D379" s="120">
        <f t="shared" ref="D379:I379" si="262">SUM(D381:D383)</f>
        <v>0</v>
      </c>
      <c r="E379" s="120">
        <f t="shared" si="262"/>
        <v>0</v>
      </c>
      <c r="F379" s="120">
        <f t="shared" si="262"/>
        <v>0</v>
      </c>
      <c r="G379" s="120">
        <f t="shared" si="262"/>
        <v>0</v>
      </c>
      <c r="H379" s="120">
        <f t="shared" si="262"/>
        <v>0</v>
      </c>
      <c r="I379" s="155">
        <f t="shared" si="262"/>
        <v>0</v>
      </c>
      <c r="J379" s="155">
        <f t="shared" ref="J379:M379" si="263">SUM(J381:J383)</f>
        <v>0</v>
      </c>
      <c r="K379" s="155">
        <f t="shared" si="263"/>
        <v>0</v>
      </c>
      <c r="L379" s="120">
        <f t="shared" si="263"/>
        <v>0</v>
      </c>
      <c r="M379" s="120">
        <f t="shared" si="263"/>
        <v>0</v>
      </c>
      <c r="N379" s="134"/>
      <c r="O379" s="43"/>
    </row>
    <row r="380" spans="1:15" s="38" customFormat="1" ht="12" x14ac:dyDescent="0.2">
      <c r="A380" s="43">
        <v>284</v>
      </c>
      <c r="B380" s="126" t="s">
        <v>59</v>
      </c>
      <c r="C380" s="85">
        <f>SUM(D380:M380)</f>
        <v>0</v>
      </c>
      <c r="D380" s="85">
        <f>D386+D392</f>
        <v>0</v>
      </c>
      <c r="E380" s="85">
        <f t="shared" ref="E380:I380" si="264">E386+E392</f>
        <v>0</v>
      </c>
      <c r="F380" s="85">
        <f t="shared" si="264"/>
        <v>0</v>
      </c>
      <c r="G380" s="85">
        <f t="shared" si="264"/>
        <v>0</v>
      </c>
      <c r="H380" s="85">
        <f t="shared" si="264"/>
        <v>0</v>
      </c>
      <c r="I380" s="77">
        <f t="shared" si="264"/>
        <v>0</v>
      </c>
      <c r="J380" s="77">
        <f t="shared" ref="J380:M380" si="265">J386+J392</f>
        <v>0</v>
      </c>
      <c r="K380" s="77">
        <f t="shared" si="265"/>
        <v>0</v>
      </c>
      <c r="L380" s="85">
        <f t="shared" si="265"/>
        <v>0</v>
      </c>
      <c r="M380" s="85">
        <f t="shared" si="265"/>
        <v>0</v>
      </c>
      <c r="N380" s="134"/>
      <c r="O380" s="43"/>
    </row>
    <row r="381" spans="1:15" s="38" customFormat="1" ht="12" x14ac:dyDescent="0.2">
      <c r="A381" s="43">
        <v>285</v>
      </c>
      <c r="B381" s="135" t="s">
        <v>10</v>
      </c>
      <c r="C381" s="85">
        <f>SUM(D381:M381)</f>
        <v>0</v>
      </c>
      <c r="D381" s="85">
        <f t="shared" ref="D381:I383" si="266">D387+D393</f>
        <v>0</v>
      </c>
      <c r="E381" s="85">
        <f t="shared" si="266"/>
        <v>0</v>
      </c>
      <c r="F381" s="85">
        <f t="shared" si="266"/>
        <v>0</v>
      </c>
      <c r="G381" s="85">
        <f t="shared" si="266"/>
        <v>0</v>
      </c>
      <c r="H381" s="85">
        <f t="shared" si="266"/>
        <v>0</v>
      </c>
      <c r="I381" s="77">
        <f t="shared" si="266"/>
        <v>0</v>
      </c>
      <c r="J381" s="77">
        <f t="shared" ref="J381:M381" si="267">J387+J393</f>
        <v>0</v>
      </c>
      <c r="K381" s="77">
        <f t="shared" si="267"/>
        <v>0</v>
      </c>
      <c r="L381" s="85">
        <f t="shared" si="267"/>
        <v>0</v>
      </c>
      <c r="M381" s="85">
        <f t="shared" si="267"/>
        <v>0</v>
      </c>
      <c r="N381" s="134"/>
      <c r="O381" s="43"/>
    </row>
    <row r="382" spans="1:15" s="38" customFormat="1" ht="12" x14ac:dyDescent="0.2">
      <c r="A382" s="43">
        <v>286</v>
      </c>
      <c r="B382" s="135" t="s">
        <v>11</v>
      </c>
      <c r="C382" s="85">
        <f>SUM(D382:M382)</f>
        <v>0</v>
      </c>
      <c r="D382" s="85">
        <f t="shared" si="266"/>
        <v>0</v>
      </c>
      <c r="E382" s="85">
        <f t="shared" si="266"/>
        <v>0</v>
      </c>
      <c r="F382" s="85">
        <f t="shared" si="266"/>
        <v>0</v>
      </c>
      <c r="G382" s="85">
        <f t="shared" si="266"/>
        <v>0</v>
      </c>
      <c r="H382" s="85">
        <f t="shared" si="266"/>
        <v>0</v>
      </c>
      <c r="I382" s="77">
        <f t="shared" si="266"/>
        <v>0</v>
      </c>
      <c r="J382" s="77">
        <f t="shared" ref="J382:M382" si="268">J388+J394</f>
        <v>0</v>
      </c>
      <c r="K382" s="77">
        <f t="shared" si="268"/>
        <v>0</v>
      </c>
      <c r="L382" s="85">
        <f t="shared" si="268"/>
        <v>0</v>
      </c>
      <c r="M382" s="85">
        <f t="shared" si="268"/>
        <v>0</v>
      </c>
      <c r="N382" s="134"/>
      <c r="O382" s="43"/>
    </row>
    <row r="383" spans="1:15" s="38" customFormat="1" ht="12" x14ac:dyDescent="0.2">
      <c r="A383" s="43">
        <v>287</v>
      </c>
      <c r="B383" s="135" t="s">
        <v>12</v>
      </c>
      <c r="C383" s="85">
        <f>SUM(D383:M383)</f>
        <v>0</v>
      </c>
      <c r="D383" s="85">
        <f t="shared" si="266"/>
        <v>0</v>
      </c>
      <c r="E383" s="85">
        <f t="shared" si="266"/>
        <v>0</v>
      </c>
      <c r="F383" s="85">
        <f t="shared" si="266"/>
        <v>0</v>
      </c>
      <c r="G383" s="85">
        <f t="shared" si="266"/>
        <v>0</v>
      </c>
      <c r="H383" s="85">
        <f t="shared" si="266"/>
        <v>0</v>
      </c>
      <c r="I383" s="77">
        <f t="shared" si="266"/>
        <v>0</v>
      </c>
      <c r="J383" s="77">
        <f t="shared" ref="J383:M383" si="269">J389+J395</f>
        <v>0</v>
      </c>
      <c r="K383" s="77">
        <f t="shared" si="269"/>
        <v>0</v>
      </c>
      <c r="L383" s="85">
        <f t="shared" si="269"/>
        <v>0</v>
      </c>
      <c r="M383" s="85">
        <f t="shared" si="269"/>
        <v>0</v>
      </c>
      <c r="N383" s="134"/>
      <c r="O383" s="43"/>
    </row>
    <row r="384" spans="1:15" s="38" customFormat="1" ht="12" x14ac:dyDescent="0.2">
      <c r="A384" s="43">
        <v>288</v>
      </c>
      <c r="B384" s="239" t="s">
        <v>145</v>
      </c>
      <c r="C384" s="236"/>
      <c r="D384" s="236"/>
      <c r="E384" s="236"/>
      <c r="F384" s="236"/>
      <c r="G384" s="236"/>
      <c r="H384" s="236"/>
      <c r="I384" s="236"/>
      <c r="J384" s="236"/>
      <c r="K384" s="236"/>
      <c r="L384" s="236"/>
      <c r="M384" s="236"/>
      <c r="N384" s="237"/>
      <c r="O384" s="43"/>
    </row>
    <row r="385" spans="1:15" s="38" customFormat="1" ht="36" x14ac:dyDescent="0.2">
      <c r="A385" s="43">
        <v>289</v>
      </c>
      <c r="B385" s="136" t="s">
        <v>146</v>
      </c>
      <c r="C385" s="137">
        <f>SUM(D385:M385)</f>
        <v>0</v>
      </c>
      <c r="D385" s="120">
        <f>SUM(D386:D389)</f>
        <v>0</v>
      </c>
      <c r="E385" s="120">
        <f t="shared" ref="E385:I385" si="270">SUM(E386:E389)</f>
        <v>0</v>
      </c>
      <c r="F385" s="120">
        <f t="shared" si="270"/>
        <v>0</v>
      </c>
      <c r="G385" s="120">
        <f t="shared" si="270"/>
        <v>0</v>
      </c>
      <c r="H385" s="120">
        <f t="shared" si="270"/>
        <v>0</v>
      </c>
      <c r="I385" s="155">
        <f t="shared" si="270"/>
        <v>0</v>
      </c>
      <c r="J385" s="155">
        <f t="shared" ref="J385:M385" si="271">SUM(J386:J389)</f>
        <v>0</v>
      </c>
      <c r="K385" s="155">
        <f t="shared" si="271"/>
        <v>0</v>
      </c>
      <c r="L385" s="120">
        <f t="shared" si="271"/>
        <v>0</v>
      </c>
      <c r="M385" s="120">
        <f t="shared" si="271"/>
        <v>0</v>
      </c>
      <c r="N385" s="134"/>
      <c r="O385" s="43"/>
    </row>
    <row r="386" spans="1:15" s="38" customFormat="1" ht="12" x14ac:dyDescent="0.2">
      <c r="A386" s="43">
        <v>290</v>
      </c>
      <c r="B386" s="136" t="s">
        <v>59</v>
      </c>
      <c r="C386" s="85">
        <f>SUM(D386:M386)</f>
        <v>0</v>
      </c>
      <c r="D386" s="85">
        <v>0</v>
      </c>
      <c r="E386" s="85">
        <v>0</v>
      </c>
      <c r="F386" s="85">
        <v>0</v>
      </c>
      <c r="G386" s="85">
        <v>0</v>
      </c>
      <c r="H386" s="85">
        <v>0</v>
      </c>
      <c r="I386" s="77">
        <v>0</v>
      </c>
      <c r="J386" s="77">
        <v>0</v>
      </c>
      <c r="K386" s="77">
        <v>0</v>
      </c>
      <c r="L386" s="85">
        <v>0</v>
      </c>
      <c r="M386" s="85">
        <v>0</v>
      </c>
      <c r="N386" s="134"/>
      <c r="O386" s="43"/>
    </row>
    <row r="387" spans="1:15" s="38" customFormat="1" ht="12" x14ac:dyDescent="0.2">
      <c r="A387" s="43">
        <v>291</v>
      </c>
      <c r="B387" s="136" t="s">
        <v>10</v>
      </c>
      <c r="C387" s="85">
        <f>SUM(D387:M387)</f>
        <v>0</v>
      </c>
      <c r="D387" s="85">
        <v>0</v>
      </c>
      <c r="E387" s="85">
        <v>0</v>
      </c>
      <c r="F387" s="85">
        <v>0</v>
      </c>
      <c r="G387" s="85">
        <v>0</v>
      </c>
      <c r="H387" s="85">
        <v>0</v>
      </c>
      <c r="I387" s="77">
        <v>0</v>
      </c>
      <c r="J387" s="77">
        <v>0</v>
      </c>
      <c r="K387" s="77">
        <v>0</v>
      </c>
      <c r="L387" s="85">
        <v>0</v>
      </c>
      <c r="M387" s="85">
        <v>0</v>
      </c>
      <c r="N387" s="134"/>
      <c r="O387" s="43"/>
    </row>
    <row r="388" spans="1:15" s="38" customFormat="1" ht="12" x14ac:dyDescent="0.2">
      <c r="A388" s="43">
        <v>292</v>
      </c>
      <c r="B388" s="136" t="s">
        <v>11</v>
      </c>
      <c r="C388" s="85">
        <f>SUM(D388:M388)</f>
        <v>0</v>
      </c>
      <c r="D388" s="85">
        <v>0</v>
      </c>
      <c r="E388" s="85">
        <v>0</v>
      </c>
      <c r="F388" s="85">
        <v>0</v>
      </c>
      <c r="G388" s="85">
        <v>0</v>
      </c>
      <c r="H388" s="85">
        <v>0</v>
      </c>
      <c r="I388" s="77">
        <v>0</v>
      </c>
      <c r="J388" s="77">
        <v>0</v>
      </c>
      <c r="K388" s="77">
        <v>0</v>
      </c>
      <c r="L388" s="85">
        <v>0</v>
      </c>
      <c r="M388" s="85">
        <v>0</v>
      </c>
      <c r="N388" s="134"/>
      <c r="O388" s="43"/>
    </row>
    <row r="389" spans="1:15" s="38" customFormat="1" ht="12" x14ac:dyDescent="0.2">
      <c r="A389" s="43">
        <v>293</v>
      </c>
      <c r="B389" s="136" t="s">
        <v>12</v>
      </c>
      <c r="C389" s="85">
        <f>SUM(D389:M389)</f>
        <v>0</v>
      </c>
      <c r="D389" s="85">
        <v>0</v>
      </c>
      <c r="E389" s="85">
        <v>0</v>
      </c>
      <c r="F389" s="85">
        <v>0</v>
      </c>
      <c r="G389" s="85">
        <v>0</v>
      </c>
      <c r="H389" s="85">
        <v>0</v>
      </c>
      <c r="I389" s="77">
        <v>0</v>
      </c>
      <c r="J389" s="77">
        <v>0</v>
      </c>
      <c r="K389" s="77">
        <v>0</v>
      </c>
      <c r="L389" s="85">
        <v>0</v>
      </c>
      <c r="M389" s="85">
        <v>0</v>
      </c>
      <c r="N389" s="134"/>
      <c r="O389" s="43"/>
    </row>
    <row r="390" spans="1:15" s="38" customFormat="1" ht="12" x14ac:dyDescent="0.2">
      <c r="A390" s="43">
        <v>294</v>
      </c>
      <c r="B390" s="240" t="s">
        <v>151</v>
      </c>
      <c r="C390" s="241"/>
      <c r="D390" s="241"/>
      <c r="E390" s="241"/>
      <c r="F390" s="241"/>
      <c r="G390" s="241"/>
      <c r="H390" s="241"/>
      <c r="I390" s="241"/>
      <c r="J390" s="241"/>
      <c r="K390" s="241"/>
      <c r="L390" s="241"/>
      <c r="M390" s="241"/>
      <c r="N390" s="242"/>
      <c r="O390" s="43"/>
    </row>
    <row r="391" spans="1:15" s="38" customFormat="1" ht="24" x14ac:dyDescent="0.2">
      <c r="A391" s="43">
        <v>295</v>
      </c>
      <c r="B391" s="136" t="s">
        <v>152</v>
      </c>
      <c r="C391" s="85">
        <f>SUM(D391:M391)</f>
        <v>0</v>
      </c>
      <c r="D391" s="120">
        <f>SUM(D392:D395)</f>
        <v>0</v>
      </c>
      <c r="E391" s="120">
        <f t="shared" ref="E391:I391" si="272">SUM(E392:E395)</f>
        <v>0</v>
      </c>
      <c r="F391" s="120">
        <f t="shared" si="272"/>
        <v>0</v>
      </c>
      <c r="G391" s="120">
        <f t="shared" si="272"/>
        <v>0</v>
      </c>
      <c r="H391" s="120">
        <f t="shared" si="272"/>
        <v>0</v>
      </c>
      <c r="I391" s="155">
        <f t="shared" si="272"/>
        <v>0</v>
      </c>
      <c r="J391" s="155">
        <f t="shared" ref="J391:M391" si="273">SUM(J392:J395)</f>
        <v>0</v>
      </c>
      <c r="K391" s="155">
        <f t="shared" si="273"/>
        <v>0</v>
      </c>
      <c r="L391" s="120">
        <f t="shared" si="273"/>
        <v>0</v>
      </c>
      <c r="M391" s="120">
        <f t="shared" si="273"/>
        <v>0</v>
      </c>
      <c r="N391" s="134"/>
      <c r="O391" s="43"/>
    </row>
    <row r="392" spans="1:15" s="38" customFormat="1" ht="12" x14ac:dyDescent="0.2">
      <c r="A392" s="43">
        <v>296</v>
      </c>
      <c r="B392" s="136" t="s">
        <v>59</v>
      </c>
      <c r="C392" s="85">
        <f>SUM(D392:M392)</f>
        <v>0</v>
      </c>
      <c r="D392" s="85">
        <v>0</v>
      </c>
      <c r="E392" s="85">
        <v>0</v>
      </c>
      <c r="F392" s="85">
        <v>0</v>
      </c>
      <c r="G392" s="85">
        <v>0</v>
      </c>
      <c r="H392" s="85">
        <v>0</v>
      </c>
      <c r="I392" s="77">
        <v>0</v>
      </c>
      <c r="J392" s="77">
        <v>0</v>
      </c>
      <c r="K392" s="77">
        <v>0</v>
      </c>
      <c r="L392" s="85">
        <v>0</v>
      </c>
      <c r="M392" s="85">
        <v>0</v>
      </c>
      <c r="N392" s="134"/>
      <c r="O392" s="43"/>
    </row>
    <row r="393" spans="1:15" s="38" customFormat="1" ht="12" x14ac:dyDescent="0.2">
      <c r="A393" s="43">
        <v>297</v>
      </c>
      <c r="B393" s="136" t="s">
        <v>10</v>
      </c>
      <c r="C393" s="85">
        <f>SUM(D393:M393)</f>
        <v>0</v>
      </c>
      <c r="D393" s="85">
        <v>0</v>
      </c>
      <c r="E393" s="85">
        <v>0</v>
      </c>
      <c r="F393" s="85">
        <v>0</v>
      </c>
      <c r="G393" s="85">
        <v>0</v>
      </c>
      <c r="H393" s="85">
        <v>0</v>
      </c>
      <c r="I393" s="77">
        <v>0</v>
      </c>
      <c r="J393" s="77">
        <v>0</v>
      </c>
      <c r="K393" s="77">
        <v>0</v>
      </c>
      <c r="L393" s="85">
        <v>0</v>
      </c>
      <c r="M393" s="85">
        <v>0</v>
      </c>
      <c r="N393" s="134"/>
      <c r="O393" s="43"/>
    </row>
    <row r="394" spans="1:15" s="38" customFormat="1" ht="12" x14ac:dyDescent="0.2">
      <c r="A394" s="43">
        <v>298</v>
      </c>
      <c r="B394" s="136" t="s">
        <v>11</v>
      </c>
      <c r="C394" s="85">
        <f>SUM(D394:M394)</f>
        <v>0</v>
      </c>
      <c r="D394" s="85">
        <v>0</v>
      </c>
      <c r="E394" s="85">
        <v>0</v>
      </c>
      <c r="F394" s="85">
        <v>0</v>
      </c>
      <c r="G394" s="85">
        <v>0</v>
      </c>
      <c r="H394" s="85">
        <v>0</v>
      </c>
      <c r="I394" s="77">
        <v>0</v>
      </c>
      <c r="J394" s="77">
        <v>0</v>
      </c>
      <c r="K394" s="77">
        <v>0</v>
      </c>
      <c r="L394" s="85">
        <v>0</v>
      </c>
      <c r="M394" s="85">
        <v>0</v>
      </c>
      <c r="N394" s="134"/>
      <c r="O394" s="43"/>
    </row>
    <row r="395" spans="1:15" s="38" customFormat="1" ht="12" x14ac:dyDescent="0.2">
      <c r="A395" s="43">
        <v>299</v>
      </c>
      <c r="B395" s="136" t="s">
        <v>12</v>
      </c>
      <c r="C395" s="85">
        <f>SUM(D395:M395)</f>
        <v>0</v>
      </c>
      <c r="D395" s="85">
        <v>0</v>
      </c>
      <c r="E395" s="85">
        <v>0</v>
      </c>
      <c r="F395" s="85">
        <v>0</v>
      </c>
      <c r="G395" s="85">
        <v>0</v>
      </c>
      <c r="H395" s="85">
        <v>0</v>
      </c>
      <c r="I395" s="77">
        <v>0</v>
      </c>
      <c r="J395" s="77">
        <v>0</v>
      </c>
      <c r="K395" s="77">
        <v>0</v>
      </c>
      <c r="L395" s="85">
        <v>0</v>
      </c>
      <c r="M395" s="85">
        <v>0</v>
      </c>
      <c r="N395" s="134"/>
      <c r="O395" s="43"/>
    </row>
    <row r="396" spans="1:15" s="38" customFormat="1" ht="12" x14ac:dyDescent="0.2">
      <c r="A396" s="43">
        <v>300</v>
      </c>
      <c r="B396" s="243" t="s">
        <v>61</v>
      </c>
      <c r="C396" s="244"/>
      <c r="D396" s="244"/>
      <c r="E396" s="244"/>
      <c r="F396" s="244"/>
      <c r="G396" s="244"/>
      <c r="H396" s="244"/>
      <c r="I396" s="244"/>
      <c r="J396" s="244"/>
      <c r="K396" s="244"/>
      <c r="L396" s="244"/>
      <c r="M396" s="244"/>
      <c r="N396" s="245"/>
      <c r="O396" s="43"/>
    </row>
    <row r="397" spans="1:15" s="38" customFormat="1" ht="24" x14ac:dyDescent="0.2">
      <c r="A397" s="43">
        <v>301</v>
      </c>
      <c r="B397" s="125" t="s">
        <v>23</v>
      </c>
      <c r="C397" s="137">
        <f t="shared" ref="C397:C432" si="274">SUM(D397:M397)</f>
        <v>1122338.23</v>
      </c>
      <c r="D397" s="120">
        <f t="shared" ref="D397:I397" si="275">SUM(D399:D401)</f>
        <v>118000</v>
      </c>
      <c r="E397" s="120">
        <f t="shared" si="275"/>
        <v>160311.04000000001</v>
      </c>
      <c r="F397" s="120">
        <f t="shared" si="275"/>
        <v>87083.73000000001</v>
      </c>
      <c r="G397" s="120">
        <f t="shared" si="275"/>
        <v>60000</v>
      </c>
      <c r="H397" s="120">
        <f t="shared" si="275"/>
        <v>160000</v>
      </c>
      <c r="I397" s="155">
        <f t="shared" si="275"/>
        <v>336943.46</v>
      </c>
      <c r="J397" s="155">
        <f t="shared" ref="J397:M397" si="276">SUM(J399:J401)</f>
        <v>60000</v>
      </c>
      <c r="K397" s="155">
        <f t="shared" si="276"/>
        <v>60000</v>
      </c>
      <c r="L397" s="120">
        <f t="shared" si="276"/>
        <v>40000</v>
      </c>
      <c r="M397" s="120">
        <f t="shared" si="276"/>
        <v>40000</v>
      </c>
      <c r="N397" s="134"/>
      <c r="O397" s="43"/>
    </row>
    <row r="398" spans="1:15" s="38" customFormat="1" ht="12" x14ac:dyDescent="0.2">
      <c r="A398" s="43">
        <v>302</v>
      </c>
      <c r="B398" s="126" t="s">
        <v>59</v>
      </c>
      <c r="C398" s="85">
        <f t="shared" si="274"/>
        <v>0</v>
      </c>
      <c r="D398" s="85">
        <f t="shared" ref="D398:I401" si="277">D403+D429+D434</f>
        <v>0</v>
      </c>
      <c r="E398" s="85">
        <f t="shared" si="277"/>
        <v>0</v>
      </c>
      <c r="F398" s="85">
        <f t="shared" si="277"/>
        <v>0</v>
      </c>
      <c r="G398" s="85">
        <f t="shared" si="277"/>
        <v>0</v>
      </c>
      <c r="H398" s="85">
        <f t="shared" si="277"/>
        <v>0</v>
      </c>
      <c r="I398" s="77">
        <f t="shared" si="277"/>
        <v>0</v>
      </c>
      <c r="J398" s="77">
        <f t="shared" ref="J398:M398" si="278">J403+J429+J434</f>
        <v>0</v>
      </c>
      <c r="K398" s="77">
        <f t="shared" si="278"/>
        <v>0</v>
      </c>
      <c r="L398" s="85">
        <f t="shared" si="278"/>
        <v>0</v>
      </c>
      <c r="M398" s="85">
        <f t="shared" si="278"/>
        <v>0</v>
      </c>
      <c r="N398" s="134"/>
      <c r="O398" s="43"/>
    </row>
    <row r="399" spans="1:15" s="38" customFormat="1" ht="12" x14ac:dyDescent="0.2">
      <c r="A399" s="43">
        <v>303</v>
      </c>
      <c r="B399" s="126" t="s">
        <v>10</v>
      </c>
      <c r="C399" s="85">
        <f t="shared" si="274"/>
        <v>0</v>
      </c>
      <c r="D399" s="85">
        <f t="shared" si="277"/>
        <v>0</v>
      </c>
      <c r="E399" s="85">
        <f t="shared" si="277"/>
        <v>0</v>
      </c>
      <c r="F399" s="85">
        <f t="shared" si="277"/>
        <v>0</v>
      </c>
      <c r="G399" s="85">
        <f t="shared" si="277"/>
        <v>0</v>
      </c>
      <c r="H399" s="85">
        <f t="shared" si="277"/>
        <v>0</v>
      </c>
      <c r="I399" s="77">
        <f t="shared" si="277"/>
        <v>0</v>
      </c>
      <c r="J399" s="77">
        <f t="shared" ref="J399:M399" si="279">J404+J430+J435</f>
        <v>0</v>
      </c>
      <c r="K399" s="77">
        <f t="shared" si="279"/>
        <v>0</v>
      </c>
      <c r="L399" s="85">
        <f t="shared" si="279"/>
        <v>0</v>
      </c>
      <c r="M399" s="85">
        <f t="shared" si="279"/>
        <v>0</v>
      </c>
      <c r="N399" s="134"/>
      <c r="O399" s="43"/>
    </row>
    <row r="400" spans="1:15" s="38" customFormat="1" ht="12" x14ac:dyDescent="0.2">
      <c r="A400" s="43">
        <v>304</v>
      </c>
      <c r="B400" s="126" t="s">
        <v>11</v>
      </c>
      <c r="C400" s="85">
        <f t="shared" si="274"/>
        <v>1122338.23</v>
      </c>
      <c r="D400" s="85">
        <f t="shared" si="277"/>
        <v>118000</v>
      </c>
      <c r="E400" s="85">
        <f t="shared" si="277"/>
        <v>160311.04000000001</v>
      </c>
      <c r="F400" s="85">
        <f t="shared" si="277"/>
        <v>87083.73000000001</v>
      </c>
      <c r="G400" s="85">
        <f t="shared" si="277"/>
        <v>60000</v>
      </c>
      <c r="H400" s="85">
        <f t="shared" si="277"/>
        <v>160000</v>
      </c>
      <c r="I400" s="77">
        <f t="shared" si="277"/>
        <v>336943.46</v>
      </c>
      <c r="J400" s="77">
        <f t="shared" ref="J400:M400" si="280">J405+J431+J436</f>
        <v>60000</v>
      </c>
      <c r="K400" s="77">
        <f t="shared" si="280"/>
        <v>60000</v>
      </c>
      <c r="L400" s="85">
        <f t="shared" si="280"/>
        <v>40000</v>
      </c>
      <c r="M400" s="85">
        <f t="shared" si="280"/>
        <v>40000</v>
      </c>
      <c r="N400" s="134"/>
      <c r="O400" s="43"/>
    </row>
    <row r="401" spans="1:15" s="38" customFormat="1" ht="12" x14ac:dyDescent="0.2">
      <c r="A401" s="43">
        <v>305</v>
      </c>
      <c r="B401" s="126" t="s">
        <v>12</v>
      </c>
      <c r="C401" s="85">
        <f t="shared" si="274"/>
        <v>0</v>
      </c>
      <c r="D401" s="85">
        <f t="shared" si="277"/>
        <v>0</v>
      </c>
      <c r="E401" s="85">
        <f t="shared" si="277"/>
        <v>0</v>
      </c>
      <c r="F401" s="85">
        <f t="shared" si="277"/>
        <v>0</v>
      </c>
      <c r="G401" s="85">
        <f t="shared" si="277"/>
        <v>0</v>
      </c>
      <c r="H401" s="85">
        <f t="shared" si="277"/>
        <v>0</v>
      </c>
      <c r="I401" s="77">
        <f t="shared" si="277"/>
        <v>0</v>
      </c>
      <c r="J401" s="77">
        <f t="shared" ref="J401:M401" si="281">J406+J432+J437</f>
        <v>0</v>
      </c>
      <c r="K401" s="77">
        <f t="shared" si="281"/>
        <v>0</v>
      </c>
      <c r="L401" s="85">
        <f t="shared" si="281"/>
        <v>0</v>
      </c>
      <c r="M401" s="85">
        <f t="shared" si="281"/>
        <v>0</v>
      </c>
      <c r="N401" s="134"/>
      <c r="O401" s="43"/>
    </row>
    <row r="402" spans="1:15" s="38" customFormat="1" ht="168" x14ac:dyDescent="0.2">
      <c r="A402" s="43">
        <v>306</v>
      </c>
      <c r="B402" s="65" t="s">
        <v>222</v>
      </c>
      <c r="C402" s="132">
        <f t="shared" si="274"/>
        <v>712338.23</v>
      </c>
      <c r="D402" s="73">
        <f t="shared" ref="D402:I402" si="282">SUM(D404:D406)</f>
        <v>118000</v>
      </c>
      <c r="E402" s="73">
        <f t="shared" si="282"/>
        <v>160311.04000000001</v>
      </c>
      <c r="F402" s="73">
        <f t="shared" si="282"/>
        <v>57083.73</v>
      </c>
      <c r="G402" s="122">
        <f t="shared" si="282"/>
        <v>0</v>
      </c>
      <c r="H402" s="122">
        <f t="shared" si="282"/>
        <v>100000</v>
      </c>
      <c r="I402" s="156">
        <f t="shared" si="282"/>
        <v>276943.46000000002</v>
      </c>
      <c r="J402" s="156">
        <f t="shared" ref="J402:M402" si="283">SUM(J404:J406)</f>
        <v>0</v>
      </c>
      <c r="K402" s="156">
        <f t="shared" si="283"/>
        <v>0</v>
      </c>
      <c r="L402" s="73">
        <f t="shared" si="283"/>
        <v>0</v>
      </c>
      <c r="M402" s="73">
        <f t="shared" si="283"/>
        <v>0</v>
      </c>
      <c r="N402" s="54" t="s">
        <v>191</v>
      </c>
      <c r="O402" s="43" t="s">
        <v>149</v>
      </c>
    </row>
    <row r="403" spans="1:15" s="38" customFormat="1" ht="12" x14ac:dyDescent="0.2">
      <c r="A403" s="43">
        <v>307</v>
      </c>
      <c r="B403" s="61" t="s">
        <v>59</v>
      </c>
      <c r="C403" s="69">
        <f t="shared" si="274"/>
        <v>0</v>
      </c>
      <c r="D403" s="69">
        <v>0</v>
      </c>
      <c r="E403" s="69">
        <v>0</v>
      </c>
      <c r="F403" s="69">
        <v>0</v>
      </c>
      <c r="G403" s="85">
        <v>0</v>
      </c>
      <c r="H403" s="85">
        <v>0</v>
      </c>
      <c r="I403" s="77">
        <v>0</v>
      </c>
      <c r="J403" s="77">
        <v>0</v>
      </c>
      <c r="K403" s="77">
        <v>0</v>
      </c>
      <c r="L403" s="69">
        <v>0</v>
      </c>
      <c r="M403" s="69">
        <v>0</v>
      </c>
      <c r="N403" s="79"/>
      <c r="O403" s="43"/>
    </row>
    <row r="404" spans="1:15" s="38" customFormat="1" ht="12" x14ac:dyDescent="0.2">
      <c r="A404" s="43">
        <v>308</v>
      </c>
      <c r="B404" s="61" t="s">
        <v>10</v>
      </c>
      <c r="C404" s="69">
        <f t="shared" si="274"/>
        <v>0</v>
      </c>
      <c r="D404" s="69">
        <f t="shared" ref="D404:I406" si="284">(D408+D412+D416+D420)*1000</f>
        <v>0</v>
      </c>
      <c r="E404" s="69">
        <f t="shared" si="284"/>
        <v>0</v>
      </c>
      <c r="F404" s="69">
        <f t="shared" si="284"/>
        <v>0</v>
      </c>
      <c r="G404" s="85">
        <f t="shared" si="284"/>
        <v>0</v>
      </c>
      <c r="H404" s="85">
        <f t="shared" si="284"/>
        <v>0</v>
      </c>
      <c r="I404" s="77">
        <f t="shared" si="284"/>
        <v>0</v>
      </c>
      <c r="J404" s="77">
        <f t="shared" ref="J404:M404" si="285">(J408+J412+J416+J420)*1000</f>
        <v>0</v>
      </c>
      <c r="K404" s="77">
        <f t="shared" si="285"/>
        <v>0</v>
      </c>
      <c r="L404" s="69">
        <f t="shared" si="285"/>
        <v>0</v>
      </c>
      <c r="M404" s="69">
        <f t="shared" si="285"/>
        <v>0</v>
      </c>
      <c r="N404" s="79"/>
      <c r="O404" s="43"/>
    </row>
    <row r="405" spans="1:15" s="38" customFormat="1" ht="12" x14ac:dyDescent="0.2">
      <c r="A405" s="43">
        <v>309</v>
      </c>
      <c r="B405" s="61" t="s">
        <v>11</v>
      </c>
      <c r="C405" s="69">
        <f t="shared" si="274"/>
        <v>712338.23</v>
      </c>
      <c r="D405" s="69">
        <f>(D409+D413+D417+D421)*1000-32000</f>
        <v>118000</v>
      </c>
      <c r="E405" s="69">
        <f>200000+16615.04-56304</f>
        <v>160311.04000000001</v>
      </c>
      <c r="F405" s="69">
        <v>57083.73</v>
      </c>
      <c r="G405" s="85">
        <f t="shared" si="284"/>
        <v>0</v>
      </c>
      <c r="H405" s="85">
        <f>0+100000</f>
        <v>100000</v>
      </c>
      <c r="I405" s="77">
        <v>276943.46000000002</v>
      </c>
      <c r="J405" s="77">
        <v>0</v>
      </c>
      <c r="K405" s="77">
        <v>0</v>
      </c>
      <c r="L405" s="69">
        <v>0</v>
      </c>
      <c r="M405" s="69">
        <v>0</v>
      </c>
      <c r="N405" s="79"/>
      <c r="O405" s="43"/>
    </row>
    <row r="406" spans="1:15" s="38" customFormat="1" ht="12" x14ac:dyDescent="0.2">
      <c r="A406" s="43">
        <v>310</v>
      </c>
      <c r="B406" s="61" t="s">
        <v>12</v>
      </c>
      <c r="C406" s="69">
        <f t="shared" si="274"/>
        <v>0</v>
      </c>
      <c r="D406" s="69">
        <f t="shared" si="284"/>
        <v>0</v>
      </c>
      <c r="E406" s="69">
        <f t="shared" si="284"/>
        <v>0</v>
      </c>
      <c r="F406" s="69">
        <f t="shared" si="284"/>
        <v>0</v>
      </c>
      <c r="G406" s="85">
        <f t="shared" si="284"/>
        <v>0</v>
      </c>
      <c r="H406" s="85">
        <f t="shared" si="284"/>
        <v>0</v>
      </c>
      <c r="I406" s="77">
        <f t="shared" si="284"/>
        <v>0</v>
      </c>
      <c r="J406" s="77">
        <f t="shared" ref="J406:M406" si="286">(J410+J414+J418+J422)*1000</f>
        <v>0</v>
      </c>
      <c r="K406" s="77">
        <f t="shared" si="286"/>
        <v>0</v>
      </c>
      <c r="L406" s="69">
        <f t="shared" si="286"/>
        <v>0</v>
      </c>
      <c r="M406" s="69">
        <f t="shared" si="286"/>
        <v>0</v>
      </c>
      <c r="N406" s="79"/>
      <c r="O406" s="43"/>
    </row>
    <row r="407" spans="1:15" s="38" customFormat="1" ht="48" x14ac:dyDescent="0.2">
      <c r="A407" s="43">
        <v>312</v>
      </c>
      <c r="B407" s="61" t="s">
        <v>43</v>
      </c>
      <c r="C407" s="69">
        <f t="shared" si="274"/>
        <v>250</v>
      </c>
      <c r="D407" s="68">
        <f t="shared" ref="D407:I407" si="287">SUM(D408:D410)</f>
        <v>150</v>
      </c>
      <c r="E407" s="68">
        <f t="shared" si="287"/>
        <v>0</v>
      </c>
      <c r="F407" s="68">
        <f t="shared" si="287"/>
        <v>0</v>
      </c>
      <c r="G407" s="120">
        <f t="shared" si="287"/>
        <v>0</v>
      </c>
      <c r="H407" s="120">
        <f t="shared" si="287"/>
        <v>100</v>
      </c>
      <c r="I407" s="155">
        <f t="shared" si="287"/>
        <v>0</v>
      </c>
      <c r="J407" s="155">
        <f t="shared" ref="J407:M407" si="288">SUM(J408:J410)</f>
        <v>0</v>
      </c>
      <c r="K407" s="155">
        <f t="shared" si="288"/>
        <v>0</v>
      </c>
      <c r="L407" s="68">
        <f t="shared" si="288"/>
        <v>0</v>
      </c>
      <c r="M407" s="68">
        <f t="shared" si="288"/>
        <v>0</v>
      </c>
      <c r="N407" s="79"/>
      <c r="O407" s="43"/>
    </row>
    <row r="408" spans="1:15" s="38" customFormat="1" ht="12" x14ac:dyDescent="0.2">
      <c r="A408" s="43">
        <v>313</v>
      </c>
      <c r="B408" s="61" t="s">
        <v>10</v>
      </c>
      <c r="C408" s="69">
        <f t="shared" si="274"/>
        <v>0</v>
      </c>
      <c r="D408" s="69"/>
      <c r="E408" s="69"/>
      <c r="F408" s="69"/>
      <c r="G408" s="85"/>
      <c r="H408" s="85"/>
      <c r="I408" s="77"/>
      <c r="J408" s="77"/>
      <c r="K408" s="77"/>
      <c r="L408" s="69"/>
      <c r="M408" s="69"/>
      <c r="N408" s="79"/>
      <c r="O408" s="43"/>
    </row>
    <row r="409" spans="1:15" s="38" customFormat="1" ht="12" x14ac:dyDescent="0.2">
      <c r="A409" s="43">
        <v>314</v>
      </c>
      <c r="B409" s="61" t="s">
        <v>11</v>
      </c>
      <c r="C409" s="69">
        <f t="shared" si="274"/>
        <v>250</v>
      </c>
      <c r="D409" s="69">
        <v>150</v>
      </c>
      <c r="E409" s="69"/>
      <c r="F409" s="69"/>
      <c r="G409" s="85"/>
      <c r="H409" s="85">
        <v>100</v>
      </c>
      <c r="I409" s="77"/>
      <c r="J409" s="77"/>
      <c r="K409" s="77"/>
      <c r="L409" s="69"/>
      <c r="M409" s="69"/>
      <c r="N409" s="79"/>
      <c r="O409" s="43"/>
    </row>
    <row r="410" spans="1:15" s="38" customFormat="1" ht="12" x14ac:dyDescent="0.2">
      <c r="A410" s="43">
        <v>315</v>
      </c>
      <c r="B410" s="61" t="s">
        <v>12</v>
      </c>
      <c r="C410" s="69">
        <f t="shared" si="274"/>
        <v>0</v>
      </c>
      <c r="D410" s="69"/>
      <c r="E410" s="69"/>
      <c r="F410" s="69"/>
      <c r="G410" s="85"/>
      <c r="H410" s="85"/>
      <c r="I410" s="77"/>
      <c r="J410" s="77"/>
      <c r="K410" s="77"/>
      <c r="L410" s="69"/>
      <c r="M410" s="69"/>
      <c r="N410" s="79"/>
      <c r="O410" s="43"/>
    </row>
    <row r="411" spans="1:15" s="38" customFormat="1" ht="48" x14ac:dyDescent="0.2">
      <c r="A411" s="43">
        <v>316</v>
      </c>
      <c r="B411" s="61" t="s">
        <v>44</v>
      </c>
      <c r="C411" s="69">
        <f t="shared" si="274"/>
        <v>0</v>
      </c>
      <c r="D411" s="68"/>
      <c r="E411" s="68"/>
      <c r="F411" s="68"/>
      <c r="G411" s="120"/>
      <c r="H411" s="120"/>
      <c r="I411" s="155"/>
      <c r="J411" s="155"/>
      <c r="K411" s="155"/>
      <c r="L411" s="68"/>
      <c r="M411" s="68"/>
      <c r="N411" s="79"/>
      <c r="O411" s="43"/>
    </row>
    <row r="412" spans="1:15" s="38" customFormat="1" ht="12" x14ac:dyDescent="0.2">
      <c r="A412" s="43">
        <v>317</v>
      </c>
      <c r="B412" s="61" t="s">
        <v>10</v>
      </c>
      <c r="C412" s="69">
        <f t="shared" si="274"/>
        <v>0</v>
      </c>
      <c r="D412" s="69"/>
      <c r="E412" s="69"/>
      <c r="F412" s="69"/>
      <c r="G412" s="85"/>
      <c r="H412" s="85"/>
      <c r="I412" s="77"/>
      <c r="J412" s="77"/>
      <c r="K412" s="77"/>
      <c r="L412" s="69"/>
      <c r="M412" s="69"/>
      <c r="N412" s="79"/>
      <c r="O412" s="43"/>
    </row>
    <row r="413" spans="1:15" s="38" customFormat="1" ht="12" x14ac:dyDescent="0.2">
      <c r="A413" s="43">
        <v>318</v>
      </c>
      <c r="B413" s="61" t="s">
        <v>11</v>
      </c>
      <c r="C413" s="69">
        <f t="shared" si="274"/>
        <v>0</v>
      </c>
      <c r="D413" s="69"/>
      <c r="E413" s="69"/>
      <c r="F413" s="69"/>
      <c r="G413" s="85"/>
      <c r="H413" s="85"/>
      <c r="I413" s="77"/>
      <c r="J413" s="77"/>
      <c r="K413" s="77"/>
      <c r="L413" s="69"/>
      <c r="M413" s="69"/>
      <c r="N413" s="79"/>
      <c r="O413" s="43"/>
    </row>
    <row r="414" spans="1:15" s="38" customFormat="1" ht="12" x14ac:dyDescent="0.2">
      <c r="A414" s="43">
        <v>319</v>
      </c>
      <c r="B414" s="61" t="s">
        <v>12</v>
      </c>
      <c r="C414" s="69">
        <f t="shared" si="274"/>
        <v>0</v>
      </c>
      <c r="D414" s="69"/>
      <c r="E414" s="69"/>
      <c r="F414" s="69"/>
      <c r="G414" s="85"/>
      <c r="H414" s="85"/>
      <c r="I414" s="77"/>
      <c r="J414" s="77"/>
      <c r="K414" s="77"/>
      <c r="L414" s="69"/>
      <c r="M414" s="69"/>
      <c r="N414" s="79"/>
      <c r="O414" s="43"/>
    </row>
    <row r="415" spans="1:15" s="38" customFormat="1" ht="48" x14ac:dyDescent="0.2">
      <c r="A415" s="43">
        <v>320</v>
      </c>
      <c r="B415" s="61" t="s">
        <v>45</v>
      </c>
      <c r="C415" s="69">
        <f t="shared" si="274"/>
        <v>0</v>
      </c>
      <c r="D415" s="68">
        <f t="shared" ref="D415:I415" si="289">SUM(D416:D418)</f>
        <v>0</v>
      </c>
      <c r="E415" s="68">
        <f t="shared" si="289"/>
        <v>0</v>
      </c>
      <c r="F415" s="68">
        <f t="shared" si="289"/>
        <v>0</v>
      </c>
      <c r="G415" s="120">
        <f t="shared" si="289"/>
        <v>0</v>
      </c>
      <c r="H415" s="120">
        <f t="shared" si="289"/>
        <v>0</v>
      </c>
      <c r="I415" s="155">
        <f t="shared" si="289"/>
        <v>0</v>
      </c>
      <c r="J415" s="155">
        <f t="shared" ref="J415:M415" si="290">SUM(J416:J418)</f>
        <v>0</v>
      </c>
      <c r="K415" s="155">
        <f t="shared" si="290"/>
        <v>0</v>
      </c>
      <c r="L415" s="68">
        <f t="shared" si="290"/>
        <v>0</v>
      </c>
      <c r="M415" s="68">
        <f t="shared" si="290"/>
        <v>0</v>
      </c>
      <c r="N415" s="79"/>
      <c r="O415" s="43"/>
    </row>
    <row r="416" spans="1:15" s="38" customFormat="1" ht="12" x14ac:dyDescent="0.2">
      <c r="A416" s="43">
        <v>321</v>
      </c>
      <c r="B416" s="61" t="s">
        <v>10</v>
      </c>
      <c r="C416" s="69">
        <f t="shared" si="274"/>
        <v>0</v>
      </c>
      <c r="D416" s="69"/>
      <c r="E416" s="69"/>
      <c r="F416" s="69"/>
      <c r="G416" s="85"/>
      <c r="H416" s="85"/>
      <c r="I416" s="77"/>
      <c r="J416" s="77"/>
      <c r="K416" s="77"/>
      <c r="L416" s="69"/>
      <c r="M416" s="69"/>
      <c r="N416" s="79"/>
      <c r="O416" s="43"/>
    </row>
    <row r="417" spans="1:15" s="38" customFormat="1" ht="12" x14ac:dyDescent="0.2">
      <c r="A417" s="43">
        <v>322</v>
      </c>
      <c r="B417" s="61" t="s">
        <v>11</v>
      </c>
      <c r="C417" s="69">
        <f t="shared" si="274"/>
        <v>0</v>
      </c>
      <c r="D417" s="69"/>
      <c r="E417" s="69"/>
      <c r="F417" s="69"/>
      <c r="G417" s="85"/>
      <c r="H417" s="85"/>
      <c r="I417" s="77"/>
      <c r="J417" s="77"/>
      <c r="K417" s="77"/>
      <c r="L417" s="69"/>
      <c r="M417" s="69"/>
      <c r="N417" s="79"/>
      <c r="O417" s="43"/>
    </row>
    <row r="418" spans="1:15" s="38" customFormat="1" ht="12" x14ac:dyDescent="0.2">
      <c r="A418" s="43">
        <v>323</v>
      </c>
      <c r="B418" s="61" t="s">
        <v>12</v>
      </c>
      <c r="C418" s="69">
        <f t="shared" si="274"/>
        <v>0</v>
      </c>
      <c r="D418" s="69"/>
      <c r="E418" s="69"/>
      <c r="F418" s="69"/>
      <c r="G418" s="85"/>
      <c r="H418" s="85"/>
      <c r="I418" s="77"/>
      <c r="J418" s="77"/>
      <c r="K418" s="77"/>
      <c r="L418" s="69"/>
      <c r="M418" s="69"/>
      <c r="N418" s="79"/>
      <c r="O418" s="43"/>
    </row>
    <row r="419" spans="1:15" s="38" customFormat="1" ht="48" x14ac:dyDescent="0.2">
      <c r="A419" s="43">
        <v>324</v>
      </c>
      <c r="B419" s="61" t="s">
        <v>46</v>
      </c>
      <c r="C419" s="69">
        <f t="shared" si="274"/>
        <v>0</v>
      </c>
      <c r="D419" s="68">
        <f t="shared" ref="D419:I419" si="291">SUM(D420:D422)</f>
        <v>0</v>
      </c>
      <c r="E419" s="68">
        <f t="shared" si="291"/>
        <v>0</v>
      </c>
      <c r="F419" s="68">
        <f t="shared" si="291"/>
        <v>0</v>
      </c>
      <c r="G419" s="120">
        <f t="shared" si="291"/>
        <v>0</v>
      </c>
      <c r="H419" s="120">
        <f t="shared" si="291"/>
        <v>0</v>
      </c>
      <c r="I419" s="155">
        <f t="shared" si="291"/>
        <v>0</v>
      </c>
      <c r="J419" s="155">
        <f t="shared" ref="J419:M419" si="292">SUM(J420:J422)</f>
        <v>0</v>
      </c>
      <c r="K419" s="155">
        <f t="shared" si="292"/>
        <v>0</v>
      </c>
      <c r="L419" s="68">
        <f t="shared" si="292"/>
        <v>0</v>
      </c>
      <c r="M419" s="68">
        <f t="shared" si="292"/>
        <v>0</v>
      </c>
      <c r="N419" s="79"/>
      <c r="O419" s="43"/>
    </row>
    <row r="420" spans="1:15" s="38" customFormat="1" ht="12" x14ac:dyDescent="0.2">
      <c r="A420" s="43">
        <v>325</v>
      </c>
      <c r="B420" s="61" t="s">
        <v>10</v>
      </c>
      <c r="C420" s="69">
        <f t="shared" si="274"/>
        <v>0</v>
      </c>
      <c r="D420" s="69"/>
      <c r="E420" s="69"/>
      <c r="F420" s="69"/>
      <c r="G420" s="85"/>
      <c r="H420" s="85"/>
      <c r="I420" s="77"/>
      <c r="J420" s="77"/>
      <c r="K420" s="77"/>
      <c r="L420" s="69"/>
      <c r="M420" s="69"/>
      <c r="N420" s="79"/>
      <c r="O420" s="43"/>
    </row>
    <row r="421" spans="1:15" s="38" customFormat="1" ht="12" x14ac:dyDescent="0.2">
      <c r="A421" s="43">
        <v>326</v>
      </c>
      <c r="B421" s="61" t="s">
        <v>11</v>
      </c>
      <c r="C421" s="69">
        <f t="shared" si="274"/>
        <v>0</v>
      </c>
      <c r="D421" s="69"/>
      <c r="E421" s="69"/>
      <c r="F421" s="69"/>
      <c r="G421" s="85"/>
      <c r="H421" s="85"/>
      <c r="I421" s="77"/>
      <c r="J421" s="77"/>
      <c r="K421" s="77"/>
      <c r="L421" s="69"/>
      <c r="M421" s="69"/>
      <c r="N421" s="79"/>
      <c r="O421" s="43"/>
    </row>
    <row r="422" spans="1:15" s="38" customFormat="1" ht="12" x14ac:dyDescent="0.2">
      <c r="A422" s="43">
        <v>327</v>
      </c>
      <c r="B422" s="61" t="s">
        <v>12</v>
      </c>
      <c r="C422" s="69">
        <f t="shared" si="274"/>
        <v>0</v>
      </c>
      <c r="D422" s="69"/>
      <c r="E422" s="69"/>
      <c r="F422" s="69"/>
      <c r="G422" s="85"/>
      <c r="H422" s="85"/>
      <c r="I422" s="77"/>
      <c r="J422" s="77"/>
      <c r="K422" s="77"/>
      <c r="L422" s="69"/>
      <c r="M422" s="69"/>
      <c r="N422" s="79"/>
      <c r="O422" s="43"/>
    </row>
    <row r="423" spans="1:15" s="38" customFormat="1" ht="72" x14ac:dyDescent="0.2">
      <c r="A423" s="43">
        <v>311</v>
      </c>
      <c r="B423" s="65" t="s">
        <v>192</v>
      </c>
      <c r="C423" s="69">
        <f t="shared" si="274"/>
        <v>57083.73</v>
      </c>
      <c r="D423" s="76">
        <f>SUM(D424:D427)</f>
        <v>0</v>
      </c>
      <c r="E423" s="76">
        <f t="shared" ref="E423:I423" si="293">SUM(E424:E427)</f>
        <v>0</v>
      </c>
      <c r="F423" s="76">
        <f t="shared" si="293"/>
        <v>57083.73</v>
      </c>
      <c r="G423" s="123">
        <f t="shared" si="293"/>
        <v>0</v>
      </c>
      <c r="H423" s="123">
        <f t="shared" si="293"/>
        <v>0</v>
      </c>
      <c r="I423" s="157">
        <f t="shared" si="293"/>
        <v>0</v>
      </c>
      <c r="J423" s="157">
        <f t="shared" ref="J423:M423" si="294">SUM(J424:J427)</f>
        <v>0</v>
      </c>
      <c r="K423" s="157">
        <f t="shared" si="294"/>
        <v>0</v>
      </c>
      <c r="L423" s="76">
        <f t="shared" si="294"/>
        <v>0</v>
      </c>
      <c r="M423" s="76">
        <f t="shared" si="294"/>
        <v>0</v>
      </c>
      <c r="N423" s="54" t="s">
        <v>191</v>
      </c>
      <c r="O423" s="43" t="s">
        <v>149</v>
      </c>
    </row>
    <row r="424" spans="1:15" s="38" customFormat="1" ht="12" x14ac:dyDescent="0.2">
      <c r="A424" s="43">
        <v>312</v>
      </c>
      <c r="B424" s="61" t="s">
        <v>59</v>
      </c>
      <c r="C424" s="69">
        <f t="shared" si="274"/>
        <v>0</v>
      </c>
      <c r="D424" s="69">
        <v>0</v>
      </c>
      <c r="E424" s="69">
        <v>0</v>
      </c>
      <c r="F424" s="69">
        <v>0</v>
      </c>
      <c r="G424" s="85">
        <v>0</v>
      </c>
      <c r="H424" s="85">
        <v>0</v>
      </c>
      <c r="I424" s="77">
        <v>0</v>
      </c>
      <c r="J424" s="77">
        <v>0</v>
      </c>
      <c r="K424" s="77">
        <v>0</v>
      </c>
      <c r="L424" s="69">
        <v>0</v>
      </c>
      <c r="M424" s="69">
        <v>0</v>
      </c>
      <c r="N424" s="79"/>
      <c r="O424" s="43"/>
    </row>
    <row r="425" spans="1:15" s="38" customFormat="1" ht="12" x14ac:dyDescent="0.2">
      <c r="A425" s="43">
        <v>313</v>
      </c>
      <c r="B425" s="61" t="s">
        <v>10</v>
      </c>
      <c r="C425" s="69">
        <f t="shared" si="274"/>
        <v>0</v>
      </c>
      <c r="D425" s="69">
        <v>0</v>
      </c>
      <c r="E425" s="69">
        <v>0</v>
      </c>
      <c r="F425" s="69">
        <v>0</v>
      </c>
      <c r="G425" s="85">
        <v>0</v>
      </c>
      <c r="H425" s="85">
        <v>0</v>
      </c>
      <c r="I425" s="77">
        <v>0</v>
      </c>
      <c r="J425" s="77">
        <v>0</v>
      </c>
      <c r="K425" s="77">
        <v>0</v>
      </c>
      <c r="L425" s="69">
        <v>0</v>
      </c>
      <c r="M425" s="69">
        <v>0</v>
      </c>
      <c r="N425" s="79"/>
      <c r="O425" s="43"/>
    </row>
    <row r="426" spans="1:15" s="38" customFormat="1" ht="12" x14ac:dyDescent="0.2">
      <c r="A426" s="43">
        <v>314</v>
      </c>
      <c r="B426" s="61" t="s">
        <v>11</v>
      </c>
      <c r="C426" s="69">
        <f t="shared" si="274"/>
        <v>57083.73</v>
      </c>
      <c r="D426" s="69">
        <v>0</v>
      </c>
      <c r="E426" s="69">
        <v>0</v>
      </c>
      <c r="F426" s="69">
        <v>57083.73</v>
      </c>
      <c r="G426" s="85">
        <v>0</v>
      </c>
      <c r="H426" s="85">
        <v>0</v>
      </c>
      <c r="I426" s="77">
        <v>0</v>
      </c>
      <c r="J426" s="77">
        <v>0</v>
      </c>
      <c r="K426" s="77">
        <v>0</v>
      </c>
      <c r="L426" s="69">
        <v>0</v>
      </c>
      <c r="M426" s="69">
        <v>0</v>
      </c>
      <c r="N426" s="79"/>
      <c r="O426" s="43"/>
    </row>
    <row r="427" spans="1:15" s="38" customFormat="1" ht="12" x14ac:dyDescent="0.2">
      <c r="A427" s="43">
        <v>315</v>
      </c>
      <c r="B427" s="61" t="s">
        <v>12</v>
      </c>
      <c r="C427" s="69">
        <f t="shared" si="274"/>
        <v>0</v>
      </c>
      <c r="D427" s="69">
        <v>0</v>
      </c>
      <c r="E427" s="69">
        <v>0</v>
      </c>
      <c r="F427" s="69">
        <v>0</v>
      </c>
      <c r="G427" s="85">
        <v>0</v>
      </c>
      <c r="H427" s="85">
        <v>0</v>
      </c>
      <c r="I427" s="77">
        <v>0</v>
      </c>
      <c r="J427" s="77">
        <v>0</v>
      </c>
      <c r="K427" s="77">
        <v>0</v>
      </c>
      <c r="L427" s="69">
        <v>0</v>
      </c>
      <c r="M427" s="69">
        <v>0</v>
      </c>
      <c r="N427" s="79"/>
      <c r="O427" s="43"/>
    </row>
    <row r="428" spans="1:15" s="38" customFormat="1" ht="60" x14ac:dyDescent="0.2">
      <c r="A428" s="43">
        <v>316</v>
      </c>
      <c r="B428" s="65" t="s">
        <v>221</v>
      </c>
      <c r="C428" s="132">
        <f t="shared" si="274"/>
        <v>410000</v>
      </c>
      <c r="D428" s="73">
        <f>SUM(D430:D432)</f>
        <v>0</v>
      </c>
      <c r="E428" s="73">
        <f t="shared" ref="E428:I428" si="295">SUM(E430:E432)</f>
        <v>0</v>
      </c>
      <c r="F428" s="73">
        <f t="shared" si="295"/>
        <v>30000</v>
      </c>
      <c r="G428" s="122">
        <f t="shared" si="295"/>
        <v>60000</v>
      </c>
      <c r="H428" s="122">
        <f t="shared" si="295"/>
        <v>60000</v>
      </c>
      <c r="I428" s="156">
        <f t="shared" si="295"/>
        <v>60000</v>
      </c>
      <c r="J428" s="156">
        <f t="shared" ref="J428:M428" si="296">SUM(J430:J432)</f>
        <v>60000</v>
      </c>
      <c r="K428" s="156">
        <f t="shared" si="296"/>
        <v>60000</v>
      </c>
      <c r="L428" s="73">
        <f t="shared" si="296"/>
        <v>40000</v>
      </c>
      <c r="M428" s="73">
        <f t="shared" si="296"/>
        <v>40000</v>
      </c>
      <c r="N428" s="54" t="s">
        <v>191</v>
      </c>
      <c r="O428" s="43" t="s">
        <v>149</v>
      </c>
    </row>
    <row r="429" spans="1:15" s="38" customFormat="1" ht="12" x14ac:dyDescent="0.2">
      <c r="A429" s="43">
        <v>317</v>
      </c>
      <c r="B429" s="61" t="s">
        <v>59</v>
      </c>
      <c r="C429" s="69">
        <f t="shared" si="274"/>
        <v>0</v>
      </c>
      <c r="D429" s="69">
        <v>0</v>
      </c>
      <c r="E429" s="69">
        <v>0</v>
      </c>
      <c r="F429" s="69">
        <v>0</v>
      </c>
      <c r="G429" s="85">
        <v>0</v>
      </c>
      <c r="H429" s="85">
        <v>0</v>
      </c>
      <c r="I429" s="77">
        <v>0</v>
      </c>
      <c r="J429" s="77">
        <v>0</v>
      </c>
      <c r="K429" s="77">
        <v>0</v>
      </c>
      <c r="L429" s="69">
        <v>0</v>
      </c>
      <c r="M429" s="69">
        <v>0</v>
      </c>
      <c r="N429" s="79"/>
      <c r="O429" s="43"/>
    </row>
    <row r="430" spans="1:15" s="38" customFormat="1" ht="12" x14ac:dyDescent="0.2">
      <c r="A430" s="43">
        <v>318</v>
      </c>
      <c r="B430" s="61" t="s">
        <v>10</v>
      </c>
      <c r="C430" s="69">
        <f t="shared" si="274"/>
        <v>0</v>
      </c>
      <c r="D430" s="69"/>
      <c r="E430" s="69"/>
      <c r="F430" s="69"/>
      <c r="G430" s="85"/>
      <c r="H430" s="85"/>
      <c r="I430" s="77"/>
      <c r="J430" s="77"/>
      <c r="K430" s="77"/>
      <c r="L430" s="69"/>
      <c r="M430" s="69"/>
      <c r="N430" s="79"/>
      <c r="O430" s="43"/>
    </row>
    <row r="431" spans="1:15" s="38" customFormat="1" ht="12" x14ac:dyDescent="0.2">
      <c r="A431" s="43">
        <v>319</v>
      </c>
      <c r="B431" s="61" t="s">
        <v>11</v>
      </c>
      <c r="C431" s="69">
        <f t="shared" si="274"/>
        <v>410000</v>
      </c>
      <c r="D431" s="69">
        <f>80000-80000</f>
        <v>0</v>
      </c>
      <c r="E431" s="69">
        <f>60000-50000-10000</f>
        <v>0</v>
      </c>
      <c r="F431" s="69">
        <f>60000-30000</f>
        <v>30000</v>
      </c>
      <c r="G431" s="85">
        <f>90000-50000+20000</f>
        <v>60000</v>
      </c>
      <c r="H431" s="85">
        <f>100000-60000+20000</f>
        <v>60000</v>
      </c>
      <c r="I431" s="77">
        <v>60000</v>
      </c>
      <c r="J431" s="77">
        <v>60000</v>
      </c>
      <c r="K431" s="77">
        <v>60000</v>
      </c>
      <c r="L431" s="69">
        <f>100000-60000</f>
        <v>40000</v>
      </c>
      <c r="M431" s="69">
        <f>100000-60000</f>
        <v>40000</v>
      </c>
      <c r="N431" s="79"/>
      <c r="O431" s="43"/>
    </row>
    <row r="432" spans="1:15" s="38" customFormat="1" ht="12" x14ac:dyDescent="0.2">
      <c r="A432" s="43">
        <v>320</v>
      </c>
      <c r="B432" s="61" t="s">
        <v>12</v>
      </c>
      <c r="C432" s="69">
        <f t="shared" si="274"/>
        <v>0</v>
      </c>
      <c r="D432" s="69"/>
      <c r="E432" s="69"/>
      <c r="F432" s="69"/>
      <c r="G432" s="85"/>
      <c r="H432" s="85"/>
      <c r="I432" s="77"/>
      <c r="J432" s="77"/>
      <c r="K432" s="77"/>
      <c r="L432" s="69"/>
      <c r="M432" s="69"/>
      <c r="N432" s="79"/>
      <c r="O432" s="43"/>
    </row>
    <row r="433" spans="1:15" s="38" customFormat="1" ht="60" x14ac:dyDescent="0.2">
      <c r="A433" s="43">
        <v>321</v>
      </c>
      <c r="B433" s="65" t="s">
        <v>220</v>
      </c>
      <c r="C433" s="91" t="s">
        <v>48</v>
      </c>
      <c r="D433" s="73">
        <f t="shared" ref="D433:I433" si="297">SUM(D435:D437)</f>
        <v>0</v>
      </c>
      <c r="E433" s="73">
        <f t="shared" si="297"/>
        <v>0</v>
      </c>
      <c r="F433" s="73">
        <f t="shared" si="297"/>
        <v>0</v>
      </c>
      <c r="G433" s="122">
        <f t="shared" si="297"/>
        <v>0</v>
      </c>
      <c r="H433" s="122">
        <f t="shared" si="297"/>
        <v>0</v>
      </c>
      <c r="I433" s="156">
        <f t="shared" si="297"/>
        <v>0</v>
      </c>
      <c r="J433" s="156">
        <f t="shared" ref="J433:M433" si="298">SUM(J435:J437)</f>
        <v>0</v>
      </c>
      <c r="K433" s="156">
        <f t="shared" si="298"/>
        <v>0</v>
      </c>
      <c r="L433" s="73">
        <f t="shared" si="298"/>
        <v>0</v>
      </c>
      <c r="M433" s="73">
        <f t="shared" si="298"/>
        <v>0</v>
      </c>
      <c r="N433" s="54" t="s">
        <v>191</v>
      </c>
      <c r="O433" s="43" t="s">
        <v>149</v>
      </c>
    </row>
    <row r="434" spans="1:15" s="38" customFormat="1" ht="12" x14ac:dyDescent="0.2">
      <c r="A434" s="43">
        <v>322</v>
      </c>
      <c r="B434" s="61" t="s">
        <v>59</v>
      </c>
      <c r="C434" s="69">
        <f>SUM(D434:M434)</f>
        <v>0</v>
      </c>
      <c r="D434" s="69">
        <v>0</v>
      </c>
      <c r="E434" s="69">
        <v>0</v>
      </c>
      <c r="F434" s="69">
        <v>0</v>
      </c>
      <c r="G434" s="85">
        <v>0</v>
      </c>
      <c r="H434" s="85">
        <v>0</v>
      </c>
      <c r="I434" s="77">
        <v>0</v>
      </c>
      <c r="J434" s="77">
        <v>0</v>
      </c>
      <c r="K434" s="77">
        <v>0</v>
      </c>
      <c r="L434" s="69">
        <v>0</v>
      </c>
      <c r="M434" s="69">
        <v>0</v>
      </c>
      <c r="N434" s="79"/>
      <c r="O434" s="43"/>
    </row>
    <row r="435" spans="1:15" s="38" customFormat="1" ht="12" x14ac:dyDescent="0.2">
      <c r="A435" s="43">
        <v>323</v>
      </c>
      <c r="B435" s="61" t="s">
        <v>10</v>
      </c>
      <c r="C435" s="69">
        <f>SUM(D435:M435)</f>
        <v>0</v>
      </c>
      <c r="D435" s="69">
        <v>0</v>
      </c>
      <c r="E435" s="69">
        <v>0</v>
      </c>
      <c r="F435" s="69">
        <v>0</v>
      </c>
      <c r="G435" s="85">
        <v>0</v>
      </c>
      <c r="H435" s="85">
        <v>0</v>
      </c>
      <c r="I435" s="77">
        <v>0</v>
      </c>
      <c r="J435" s="77">
        <v>0</v>
      </c>
      <c r="K435" s="77">
        <v>0</v>
      </c>
      <c r="L435" s="69">
        <v>0</v>
      </c>
      <c r="M435" s="69">
        <v>0</v>
      </c>
      <c r="N435" s="79"/>
      <c r="O435" s="43"/>
    </row>
    <row r="436" spans="1:15" s="38" customFormat="1" ht="12" x14ac:dyDescent="0.2">
      <c r="A436" s="43">
        <v>324</v>
      </c>
      <c r="B436" s="61" t="s">
        <v>11</v>
      </c>
      <c r="C436" s="69">
        <f>SUM(D436:M436)</f>
        <v>0</v>
      </c>
      <c r="D436" s="69">
        <v>0</v>
      </c>
      <c r="E436" s="69">
        <v>0</v>
      </c>
      <c r="F436" s="69">
        <v>0</v>
      </c>
      <c r="G436" s="85">
        <v>0</v>
      </c>
      <c r="H436" s="85">
        <v>0</v>
      </c>
      <c r="I436" s="77">
        <v>0</v>
      </c>
      <c r="J436" s="77">
        <v>0</v>
      </c>
      <c r="K436" s="77">
        <v>0</v>
      </c>
      <c r="L436" s="69">
        <v>0</v>
      </c>
      <c r="M436" s="69">
        <v>0</v>
      </c>
      <c r="N436" s="79"/>
      <c r="O436" s="43"/>
    </row>
    <row r="437" spans="1:15" s="38" customFormat="1" ht="12" x14ac:dyDescent="0.2">
      <c r="A437" s="43">
        <v>325</v>
      </c>
      <c r="B437" s="61" t="s">
        <v>12</v>
      </c>
      <c r="C437" s="69">
        <f>SUM(D437:M437)</f>
        <v>0</v>
      </c>
      <c r="D437" s="69">
        <v>0</v>
      </c>
      <c r="E437" s="69">
        <v>0</v>
      </c>
      <c r="F437" s="69">
        <v>0</v>
      </c>
      <c r="G437" s="85">
        <v>0</v>
      </c>
      <c r="H437" s="85">
        <v>0</v>
      </c>
      <c r="I437" s="77">
        <v>0</v>
      </c>
      <c r="J437" s="77">
        <v>0</v>
      </c>
      <c r="K437" s="77">
        <v>0</v>
      </c>
      <c r="L437" s="69">
        <v>0</v>
      </c>
      <c r="M437" s="69">
        <v>0</v>
      </c>
      <c r="N437" s="79"/>
      <c r="O437" s="43"/>
    </row>
    <row r="438" spans="1:15" s="38" customFormat="1" ht="12" x14ac:dyDescent="0.2">
      <c r="A438" s="43">
        <v>326</v>
      </c>
      <c r="B438" s="231" t="s">
        <v>17</v>
      </c>
      <c r="C438" s="232"/>
      <c r="D438" s="232"/>
      <c r="E438" s="232"/>
      <c r="F438" s="232"/>
      <c r="G438" s="232"/>
      <c r="H438" s="232"/>
      <c r="I438" s="232"/>
      <c r="J438" s="232"/>
      <c r="K438" s="232"/>
      <c r="L438" s="232"/>
      <c r="M438" s="232"/>
      <c r="N438" s="233"/>
      <c r="O438" s="43"/>
    </row>
    <row r="439" spans="1:15" s="38" customFormat="1" ht="12" x14ac:dyDescent="0.2">
      <c r="A439" s="43">
        <v>327</v>
      </c>
      <c r="B439" s="93" t="s">
        <v>47</v>
      </c>
      <c r="C439" s="132">
        <f>SUM(D439:M439)</f>
        <v>4383719.3900000006</v>
      </c>
      <c r="D439" s="68">
        <f t="shared" ref="D439:I439" si="299">SUM(D441:D443)</f>
        <v>309148</v>
      </c>
      <c r="E439" s="68">
        <f t="shared" si="299"/>
        <v>360085.11</v>
      </c>
      <c r="F439" s="68">
        <f t="shared" si="299"/>
        <v>460700.47</v>
      </c>
      <c r="G439" s="120">
        <f t="shared" si="299"/>
        <v>347585.80999999994</v>
      </c>
      <c r="H439" s="120">
        <f t="shared" si="299"/>
        <v>539999.99999999988</v>
      </c>
      <c r="I439" s="155">
        <f t="shared" si="299"/>
        <v>205000</v>
      </c>
      <c r="J439" s="155">
        <f t="shared" ref="J439:M439" si="300">SUM(J441:J443)</f>
        <v>450600</v>
      </c>
      <c r="K439" s="155">
        <f t="shared" si="300"/>
        <v>450600</v>
      </c>
      <c r="L439" s="68">
        <f t="shared" si="300"/>
        <v>630000</v>
      </c>
      <c r="M439" s="68">
        <f t="shared" si="300"/>
        <v>630000</v>
      </c>
      <c r="N439" s="79"/>
      <c r="O439" s="43"/>
    </row>
    <row r="440" spans="1:15" s="38" customFormat="1" ht="12" x14ac:dyDescent="0.2">
      <c r="A440" s="43">
        <v>328</v>
      </c>
      <c r="B440" s="61" t="s">
        <v>59</v>
      </c>
      <c r="C440" s="69">
        <f>SUM(D440:M440)</f>
        <v>0</v>
      </c>
      <c r="D440" s="69">
        <f t="shared" ref="D440:I443" si="301">D446+D464</f>
        <v>0</v>
      </c>
      <c r="E440" s="69">
        <f t="shared" si="301"/>
        <v>0</v>
      </c>
      <c r="F440" s="69">
        <f t="shared" si="301"/>
        <v>0</v>
      </c>
      <c r="G440" s="85">
        <f t="shared" si="301"/>
        <v>0</v>
      </c>
      <c r="H440" s="85">
        <f t="shared" si="301"/>
        <v>0</v>
      </c>
      <c r="I440" s="77">
        <f t="shared" si="301"/>
        <v>0</v>
      </c>
      <c r="J440" s="77">
        <f t="shared" ref="J440:M440" si="302">J446+J464</f>
        <v>0</v>
      </c>
      <c r="K440" s="77">
        <f t="shared" si="302"/>
        <v>0</v>
      </c>
      <c r="L440" s="69">
        <f t="shared" si="302"/>
        <v>0</v>
      </c>
      <c r="M440" s="69">
        <f t="shared" si="302"/>
        <v>0</v>
      </c>
      <c r="N440" s="79"/>
      <c r="O440" s="43"/>
    </row>
    <row r="441" spans="1:15" s="38" customFormat="1" ht="12" x14ac:dyDescent="0.2">
      <c r="A441" s="43">
        <v>329</v>
      </c>
      <c r="B441" s="94" t="s">
        <v>10</v>
      </c>
      <c r="C441" s="69">
        <f>SUM(D441:M441)</f>
        <v>0</v>
      </c>
      <c r="D441" s="61">
        <f t="shared" si="301"/>
        <v>0</v>
      </c>
      <c r="E441" s="61">
        <f t="shared" si="301"/>
        <v>0</v>
      </c>
      <c r="F441" s="61">
        <f t="shared" si="301"/>
        <v>0</v>
      </c>
      <c r="G441" s="126">
        <f t="shared" si="301"/>
        <v>0</v>
      </c>
      <c r="H441" s="126">
        <f t="shared" si="301"/>
        <v>0</v>
      </c>
      <c r="I441" s="162">
        <f t="shared" si="301"/>
        <v>0</v>
      </c>
      <c r="J441" s="162">
        <f t="shared" ref="J441:M441" si="303">J447+J465</f>
        <v>0</v>
      </c>
      <c r="K441" s="162">
        <f t="shared" si="303"/>
        <v>0</v>
      </c>
      <c r="L441" s="61">
        <f t="shared" si="303"/>
        <v>0</v>
      </c>
      <c r="M441" s="61">
        <f t="shared" si="303"/>
        <v>0</v>
      </c>
      <c r="N441" s="79"/>
      <c r="O441" s="43"/>
    </row>
    <row r="442" spans="1:15" s="38" customFormat="1" ht="12" x14ac:dyDescent="0.2">
      <c r="A442" s="43">
        <v>330</v>
      </c>
      <c r="B442" s="94" t="s">
        <v>11</v>
      </c>
      <c r="C442" s="69">
        <f>SUM(D442:M442)</f>
        <v>4383719.3900000006</v>
      </c>
      <c r="D442" s="61">
        <f t="shared" si="301"/>
        <v>309148</v>
      </c>
      <c r="E442" s="61">
        <f t="shared" si="301"/>
        <v>360085.11</v>
      </c>
      <c r="F442" s="61">
        <f t="shared" si="301"/>
        <v>460700.47</v>
      </c>
      <c r="G442" s="126">
        <f t="shared" si="301"/>
        <v>347585.80999999994</v>
      </c>
      <c r="H442" s="126">
        <f t="shared" si="301"/>
        <v>539999.99999999988</v>
      </c>
      <c r="I442" s="162">
        <f t="shared" si="301"/>
        <v>205000</v>
      </c>
      <c r="J442" s="162">
        <f t="shared" ref="J442:M442" si="304">J448+J466</f>
        <v>450600</v>
      </c>
      <c r="K442" s="162">
        <f t="shared" si="304"/>
        <v>450600</v>
      </c>
      <c r="L442" s="61">
        <f t="shared" si="304"/>
        <v>630000</v>
      </c>
      <c r="M442" s="61">
        <f t="shared" si="304"/>
        <v>630000</v>
      </c>
      <c r="N442" s="79"/>
      <c r="O442" s="43"/>
    </row>
    <row r="443" spans="1:15" s="38" customFormat="1" ht="12" x14ac:dyDescent="0.2">
      <c r="A443" s="43">
        <v>331</v>
      </c>
      <c r="B443" s="94" t="s">
        <v>12</v>
      </c>
      <c r="C443" s="69">
        <f>SUM(D443:M443)</f>
        <v>0</v>
      </c>
      <c r="D443" s="61">
        <f t="shared" si="301"/>
        <v>0</v>
      </c>
      <c r="E443" s="61">
        <f t="shared" si="301"/>
        <v>0</v>
      </c>
      <c r="F443" s="61">
        <f t="shared" si="301"/>
        <v>0</v>
      </c>
      <c r="G443" s="126">
        <f t="shared" si="301"/>
        <v>0</v>
      </c>
      <c r="H443" s="126">
        <f t="shared" si="301"/>
        <v>0</v>
      </c>
      <c r="I443" s="162">
        <f t="shared" si="301"/>
        <v>0</v>
      </c>
      <c r="J443" s="162">
        <f t="shared" ref="J443:M443" si="305">J449+J467</f>
        <v>0</v>
      </c>
      <c r="K443" s="162">
        <f t="shared" si="305"/>
        <v>0</v>
      </c>
      <c r="L443" s="61">
        <f t="shared" si="305"/>
        <v>0</v>
      </c>
      <c r="M443" s="61">
        <f t="shared" si="305"/>
        <v>0</v>
      </c>
      <c r="N443" s="79"/>
      <c r="O443" s="43"/>
    </row>
    <row r="444" spans="1:15" s="38" customFormat="1" ht="12" x14ac:dyDescent="0.2">
      <c r="A444" s="43">
        <v>332</v>
      </c>
      <c r="B444" s="221" t="s">
        <v>60</v>
      </c>
      <c r="C444" s="222"/>
      <c r="D444" s="222"/>
      <c r="E444" s="222"/>
      <c r="F444" s="222"/>
      <c r="G444" s="222"/>
      <c r="H444" s="222"/>
      <c r="I444" s="222"/>
      <c r="J444" s="222"/>
      <c r="K444" s="222"/>
      <c r="L444" s="222"/>
      <c r="M444" s="222"/>
      <c r="N444" s="223"/>
      <c r="O444" s="43"/>
    </row>
    <row r="445" spans="1:15" s="38" customFormat="1" ht="36" x14ac:dyDescent="0.2">
      <c r="A445" s="43">
        <v>333</v>
      </c>
      <c r="B445" s="133" t="s">
        <v>62</v>
      </c>
      <c r="C445" s="137">
        <f>SUM(D445:M445)</f>
        <v>0</v>
      </c>
      <c r="D445" s="120">
        <f t="shared" ref="D445:I445" si="306">SUM(D447:D449)</f>
        <v>0</v>
      </c>
      <c r="E445" s="120">
        <f t="shared" si="306"/>
        <v>0</v>
      </c>
      <c r="F445" s="120">
        <f t="shared" si="306"/>
        <v>0</v>
      </c>
      <c r="G445" s="120">
        <f t="shared" si="306"/>
        <v>0</v>
      </c>
      <c r="H445" s="120">
        <f t="shared" si="306"/>
        <v>0</v>
      </c>
      <c r="I445" s="155">
        <f t="shared" si="306"/>
        <v>0</v>
      </c>
      <c r="J445" s="155">
        <f t="shared" ref="J445:M445" si="307">SUM(J447:J449)</f>
        <v>0</v>
      </c>
      <c r="K445" s="155">
        <f t="shared" si="307"/>
        <v>0</v>
      </c>
      <c r="L445" s="120">
        <f t="shared" si="307"/>
        <v>0</v>
      </c>
      <c r="M445" s="120">
        <f t="shared" si="307"/>
        <v>0</v>
      </c>
      <c r="N445" s="134"/>
      <c r="O445" s="43"/>
    </row>
    <row r="446" spans="1:15" s="38" customFormat="1" ht="12" x14ac:dyDescent="0.2">
      <c r="A446" s="43">
        <v>334</v>
      </c>
      <c r="B446" s="126" t="s">
        <v>59</v>
      </c>
      <c r="C446" s="85">
        <f>SUM(D446:M446)</f>
        <v>0</v>
      </c>
      <c r="D446" s="85">
        <f>D452+D458</f>
        <v>0</v>
      </c>
      <c r="E446" s="85">
        <f t="shared" ref="E446:I446" si="308">E452+E458</f>
        <v>0</v>
      </c>
      <c r="F446" s="85">
        <f t="shared" si="308"/>
        <v>0</v>
      </c>
      <c r="G446" s="85">
        <f t="shared" si="308"/>
        <v>0</v>
      </c>
      <c r="H446" s="85">
        <f t="shared" si="308"/>
        <v>0</v>
      </c>
      <c r="I446" s="77">
        <f t="shared" si="308"/>
        <v>0</v>
      </c>
      <c r="J446" s="77">
        <f t="shared" ref="J446:M446" si="309">J452+J458</f>
        <v>0</v>
      </c>
      <c r="K446" s="77">
        <f t="shared" si="309"/>
        <v>0</v>
      </c>
      <c r="L446" s="85">
        <f t="shared" si="309"/>
        <v>0</v>
      </c>
      <c r="M446" s="85">
        <f t="shared" si="309"/>
        <v>0</v>
      </c>
      <c r="N446" s="134"/>
      <c r="O446" s="43"/>
    </row>
    <row r="447" spans="1:15" s="38" customFormat="1" ht="12" x14ac:dyDescent="0.2">
      <c r="A447" s="43">
        <v>335</v>
      </c>
      <c r="B447" s="135" t="s">
        <v>10</v>
      </c>
      <c r="C447" s="85">
        <f>SUM(D447:M447)</f>
        <v>0</v>
      </c>
      <c r="D447" s="85">
        <f t="shared" ref="D447:I449" si="310">D453+D459</f>
        <v>0</v>
      </c>
      <c r="E447" s="85">
        <f t="shared" si="310"/>
        <v>0</v>
      </c>
      <c r="F447" s="85">
        <f t="shared" si="310"/>
        <v>0</v>
      </c>
      <c r="G447" s="85">
        <f t="shared" si="310"/>
        <v>0</v>
      </c>
      <c r="H447" s="85">
        <f t="shared" si="310"/>
        <v>0</v>
      </c>
      <c r="I447" s="77">
        <f t="shared" si="310"/>
        <v>0</v>
      </c>
      <c r="J447" s="77">
        <f t="shared" ref="J447:M447" si="311">J453+J459</f>
        <v>0</v>
      </c>
      <c r="K447" s="77">
        <f t="shared" si="311"/>
        <v>0</v>
      </c>
      <c r="L447" s="85">
        <f t="shared" si="311"/>
        <v>0</v>
      </c>
      <c r="M447" s="85">
        <f t="shared" si="311"/>
        <v>0</v>
      </c>
      <c r="N447" s="134"/>
      <c r="O447" s="43"/>
    </row>
    <row r="448" spans="1:15" s="38" customFormat="1" ht="12" x14ac:dyDescent="0.2">
      <c r="A448" s="43">
        <v>336</v>
      </c>
      <c r="B448" s="135" t="s">
        <v>11</v>
      </c>
      <c r="C448" s="85">
        <f>SUM(D448:M448)</f>
        <v>0</v>
      </c>
      <c r="D448" s="85">
        <f t="shared" si="310"/>
        <v>0</v>
      </c>
      <c r="E448" s="85">
        <f t="shared" si="310"/>
        <v>0</v>
      </c>
      <c r="F448" s="85">
        <f t="shared" si="310"/>
        <v>0</v>
      </c>
      <c r="G448" s="85">
        <f t="shared" si="310"/>
        <v>0</v>
      </c>
      <c r="H448" s="85">
        <f t="shared" si="310"/>
        <v>0</v>
      </c>
      <c r="I448" s="77">
        <f t="shared" si="310"/>
        <v>0</v>
      </c>
      <c r="J448" s="77">
        <f t="shared" ref="J448:M448" si="312">J454+J460</f>
        <v>0</v>
      </c>
      <c r="K448" s="77">
        <f t="shared" si="312"/>
        <v>0</v>
      </c>
      <c r="L448" s="85">
        <f t="shared" si="312"/>
        <v>0</v>
      </c>
      <c r="M448" s="85">
        <f t="shared" si="312"/>
        <v>0</v>
      </c>
      <c r="N448" s="134"/>
      <c r="O448" s="43"/>
    </row>
    <row r="449" spans="1:15" s="38" customFormat="1" ht="12" x14ac:dyDescent="0.2">
      <c r="A449" s="43">
        <v>337</v>
      </c>
      <c r="B449" s="135" t="s">
        <v>12</v>
      </c>
      <c r="C449" s="85">
        <f>SUM(D449:M449)</f>
        <v>0</v>
      </c>
      <c r="D449" s="85">
        <f t="shared" si="310"/>
        <v>0</v>
      </c>
      <c r="E449" s="85">
        <f t="shared" si="310"/>
        <v>0</v>
      </c>
      <c r="F449" s="85">
        <f t="shared" si="310"/>
        <v>0</v>
      </c>
      <c r="G449" s="85">
        <f t="shared" si="310"/>
        <v>0</v>
      </c>
      <c r="H449" s="85">
        <f t="shared" si="310"/>
        <v>0</v>
      </c>
      <c r="I449" s="77">
        <f t="shared" si="310"/>
        <v>0</v>
      </c>
      <c r="J449" s="77">
        <f t="shared" ref="J449:M449" si="313">J455+J461</f>
        <v>0</v>
      </c>
      <c r="K449" s="77">
        <f t="shared" si="313"/>
        <v>0</v>
      </c>
      <c r="L449" s="85">
        <f t="shared" si="313"/>
        <v>0</v>
      </c>
      <c r="M449" s="85">
        <f t="shared" si="313"/>
        <v>0</v>
      </c>
      <c r="N449" s="134"/>
      <c r="O449" s="43"/>
    </row>
    <row r="450" spans="1:15" s="38" customFormat="1" ht="12" x14ac:dyDescent="0.2">
      <c r="A450" s="43">
        <v>338</v>
      </c>
      <c r="B450" s="239" t="s">
        <v>145</v>
      </c>
      <c r="C450" s="236"/>
      <c r="D450" s="236"/>
      <c r="E450" s="236"/>
      <c r="F450" s="236"/>
      <c r="G450" s="236"/>
      <c r="H450" s="236"/>
      <c r="I450" s="236"/>
      <c r="J450" s="236"/>
      <c r="K450" s="236"/>
      <c r="L450" s="236"/>
      <c r="M450" s="236"/>
      <c r="N450" s="237"/>
      <c r="O450" s="43"/>
    </row>
    <row r="451" spans="1:15" s="38" customFormat="1" ht="36" x14ac:dyDescent="0.2">
      <c r="A451" s="43">
        <v>339</v>
      </c>
      <c r="B451" s="136" t="s">
        <v>146</v>
      </c>
      <c r="C451" s="85">
        <f>SUM(D451:M451)</f>
        <v>0</v>
      </c>
      <c r="D451" s="120">
        <f>SUM(D452:D455)</f>
        <v>0</v>
      </c>
      <c r="E451" s="120">
        <f t="shared" ref="E451:I451" si="314">SUM(E452:E455)</f>
        <v>0</v>
      </c>
      <c r="F451" s="120">
        <f t="shared" si="314"/>
        <v>0</v>
      </c>
      <c r="G451" s="120">
        <f t="shared" si="314"/>
        <v>0</v>
      </c>
      <c r="H451" s="120">
        <f t="shared" si="314"/>
        <v>0</v>
      </c>
      <c r="I451" s="155">
        <f t="shared" si="314"/>
        <v>0</v>
      </c>
      <c r="J451" s="155">
        <f t="shared" ref="J451:M451" si="315">SUM(J452:J455)</f>
        <v>0</v>
      </c>
      <c r="K451" s="155">
        <f t="shared" si="315"/>
        <v>0</v>
      </c>
      <c r="L451" s="120">
        <f t="shared" si="315"/>
        <v>0</v>
      </c>
      <c r="M451" s="120">
        <f t="shared" si="315"/>
        <v>0</v>
      </c>
      <c r="N451" s="134"/>
      <c r="O451" s="43"/>
    </row>
    <row r="452" spans="1:15" s="38" customFormat="1" ht="12" x14ac:dyDescent="0.2">
      <c r="A452" s="43">
        <v>340</v>
      </c>
      <c r="B452" s="136" t="s">
        <v>59</v>
      </c>
      <c r="C452" s="85">
        <f>SUM(D452:M452)</f>
        <v>0</v>
      </c>
      <c r="D452" s="85">
        <v>0</v>
      </c>
      <c r="E452" s="85">
        <v>0</v>
      </c>
      <c r="F452" s="85">
        <v>0</v>
      </c>
      <c r="G452" s="85">
        <v>0</v>
      </c>
      <c r="H452" s="85">
        <v>0</v>
      </c>
      <c r="I452" s="77">
        <v>0</v>
      </c>
      <c r="J452" s="77">
        <v>0</v>
      </c>
      <c r="K452" s="77">
        <v>0</v>
      </c>
      <c r="L452" s="85">
        <v>0</v>
      </c>
      <c r="M452" s="85">
        <v>0</v>
      </c>
      <c r="N452" s="134"/>
      <c r="O452" s="43"/>
    </row>
    <row r="453" spans="1:15" s="38" customFormat="1" ht="12" x14ac:dyDescent="0.2">
      <c r="A453" s="43">
        <v>341</v>
      </c>
      <c r="B453" s="136" t="s">
        <v>10</v>
      </c>
      <c r="C453" s="85">
        <f>SUM(D453:M453)</f>
        <v>0</v>
      </c>
      <c r="D453" s="85">
        <v>0</v>
      </c>
      <c r="E453" s="85">
        <v>0</v>
      </c>
      <c r="F453" s="85">
        <v>0</v>
      </c>
      <c r="G453" s="85">
        <v>0</v>
      </c>
      <c r="H453" s="85">
        <v>0</v>
      </c>
      <c r="I453" s="77">
        <v>0</v>
      </c>
      <c r="J453" s="77">
        <v>0</v>
      </c>
      <c r="K453" s="77">
        <v>0</v>
      </c>
      <c r="L453" s="85">
        <v>0</v>
      </c>
      <c r="M453" s="85">
        <v>0</v>
      </c>
      <c r="N453" s="134"/>
      <c r="O453" s="43"/>
    </row>
    <row r="454" spans="1:15" s="38" customFormat="1" ht="12" x14ac:dyDescent="0.2">
      <c r="A454" s="43">
        <v>342</v>
      </c>
      <c r="B454" s="136" t="s">
        <v>11</v>
      </c>
      <c r="C454" s="85">
        <f>SUM(D454:M454)</f>
        <v>0</v>
      </c>
      <c r="D454" s="85">
        <v>0</v>
      </c>
      <c r="E454" s="85">
        <v>0</v>
      </c>
      <c r="F454" s="85">
        <v>0</v>
      </c>
      <c r="G454" s="85">
        <v>0</v>
      </c>
      <c r="H454" s="85">
        <v>0</v>
      </c>
      <c r="I454" s="77">
        <v>0</v>
      </c>
      <c r="J454" s="77">
        <v>0</v>
      </c>
      <c r="K454" s="77">
        <v>0</v>
      </c>
      <c r="L454" s="85">
        <v>0</v>
      </c>
      <c r="M454" s="85">
        <v>0</v>
      </c>
      <c r="N454" s="134"/>
      <c r="O454" s="43"/>
    </row>
    <row r="455" spans="1:15" s="38" customFormat="1" ht="12" x14ac:dyDescent="0.2">
      <c r="A455" s="43">
        <v>343</v>
      </c>
      <c r="B455" s="136" t="s">
        <v>12</v>
      </c>
      <c r="C455" s="85">
        <f>SUM(D455:M455)</f>
        <v>0</v>
      </c>
      <c r="D455" s="85">
        <v>0</v>
      </c>
      <c r="E455" s="85">
        <v>0</v>
      </c>
      <c r="F455" s="85">
        <v>0</v>
      </c>
      <c r="G455" s="85">
        <v>0</v>
      </c>
      <c r="H455" s="85">
        <v>0</v>
      </c>
      <c r="I455" s="77">
        <v>0</v>
      </c>
      <c r="J455" s="77">
        <v>0</v>
      </c>
      <c r="K455" s="77">
        <v>0</v>
      </c>
      <c r="L455" s="85">
        <v>0</v>
      </c>
      <c r="M455" s="85">
        <v>0</v>
      </c>
      <c r="N455" s="134"/>
      <c r="O455" s="43"/>
    </row>
    <row r="456" spans="1:15" s="38" customFormat="1" ht="12" x14ac:dyDescent="0.2">
      <c r="A456" s="43">
        <v>344</v>
      </c>
      <c r="B456" s="240" t="s">
        <v>151</v>
      </c>
      <c r="C456" s="241"/>
      <c r="D456" s="241"/>
      <c r="E456" s="241"/>
      <c r="F456" s="241"/>
      <c r="G456" s="241"/>
      <c r="H456" s="241"/>
      <c r="I456" s="241"/>
      <c r="J456" s="241"/>
      <c r="K456" s="241"/>
      <c r="L456" s="241"/>
      <c r="M456" s="241"/>
      <c r="N456" s="242"/>
      <c r="O456" s="43"/>
    </row>
    <row r="457" spans="1:15" s="38" customFormat="1" ht="24" x14ac:dyDescent="0.2">
      <c r="A457" s="43">
        <v>345</v>
      </c>
      <c r="B457" s="136" t="s">
        <v>152</v>
      </c>
      <c r="C457" s="85">
        <f>SUM(D457:M457)</f>
        <v>0</v>
      </c>
      <c r="D457" s="120">
        <f>SUM(D458:D461)</f>
        <v>0</v>
      </c>
      <c r="E457" s="120">
        <f t="shared" ref="E457:I457" si="316">SUM(E458:E461)</f>
        <v>0</v>
      </c>
      <c r="F457" s="120">
        <f t="shared" si="316"/>
        <v>0</v>
      </c>
      <c r="G457" s="120">
        <f t="shared" si="316"/>
        <v>0</v>
      </c>
      <c r="H457" s="120">
        <f t="shared" si="316"/>
        <v>0</v>
      </c>
      <c r="I457" s="155">
        <f t="shared" si="316"/>
        <v>0</v>
      </c>
      <c r="J457" s="155">
        <f t="shared" ref="J457:M457" si="317">SUM(J458:J461)</f>
        <v>0</v>
      </c>
      <c r="K457" s="155">
        <f t="shared" si="317"/>
        <v>0</v>
      </c>
      <c r="L457" s="120">
        <f t="shared" si="317"/>
        <v>0</v>
      </c>
      <c r="M457" s="120">
        <f t="shared" si="317"/>
        <v>0</v>
      </c>
      <c r="N457" s="134"/>
      <c r="O457" s="43"/>
    </row>
    <row r="458" spans="1:15" s="38" customFormat="1" ht="12" x14ac:dyDescent="0.2">
      <c r="A458" s="43">
        <v>346</v>
      </c>
      <c r="B458" s="136" t="s">
        <v>59</v>
      </c>
      <c r="C458" s="85">
        <f>SUM(D458:M458)</f>
        <v>0</v>
      </c>
      <c r="D458" s="85">
        <v>0</v>
      </c>
      <c r="E458" s="85">
        <v>0</v>
      </c>
      <c r="F458" s="85">
        <v>0</v>
      </c>
      <c r="G458" s="85">
        <v>0</v>
      </c>
      <c r="H458" s="85">
        <v>0</v>
      </c>
      <c r="I458" s="77">
        <v>0</v>
      </c>
      <c r="J458" s="77">
        <v>0</v>
      </c>
      <c r="K458" s="77">
        <v>0</v>
      </c>
      <c r="L458" s="85">
        <v>0</v>
      </c>
      <c r="M458" s="85">
        <v>0</v>
      </c>
      <c r="N458" s="134"/>
      <c r="O458" s="43"/>
    </row>
    <row r="459" spans="1:15" s="38" customFormat="1" ht="12" x14ac:dyDescent="0.2">
      <c r="A459" s="43">
        <v>347</v>
      </c>
      <c r="B459" s="136" t="s">
        <v>10</v>
      </c>
      <c r="C459" s="85">
        <f>SUM(D459:M459)</f>
        <v>0</v>
      </c>
      <c r="D459" s="85">
        <v>0</v>
      </c>
      <c r="E459" s="85">
        <v>0</v>
      </c>
      <c r="F459" s="85">
        <v>0</v>
      </c>
      <c r="G459" s="85">
        <v>0</v>
      </c>
      <c r="H459" s="85">
        <v>0</v>
      </c>
      <c r="I459" s="77">
        <v>0</v>
      </c>
      <c r="J459" s="77">
        <v>0</v>
      </c>
      <c r="K459" s="77">
        <v>0</v>
      </c>
      <c r="L459" s="85">
        <v>0</v>
      </c>
      <c r="M459" s="85">
        <v>0</v>
      </c>
      <c r="N459" s="134"/>
      <c r="O459" s="43"/>
    </row>
    <row r="460" spans="1:15" s="38" customFormat="1" ht="12" x14ac:dyDescent="0.2">
      <c r="A460" s="43">
        <v>348</v>
      </c>
      <c r="B460" s="136" t="s">
        <v>11</v>
      </c>
      <c r="C460" s="85">
        <f>SUM(D460:M460)</f>
        <v>0</v>
      </c>
      <c r="D460" s="85">
        <v>0</v>
      </c>
      <c r="E460" s="85">
        <v>0</v>
      </c>
      <c r="F460" s="85">
        <v>0</v>
      </c>
      <c r="G460" s="85">
        <v>0</v>
      </c>
      <c r="H460" s="85">
        <v>0</v>
      </c>
      <c r="I460" s="77">
        <v>0</v>
      </c>
      <c r="J460" s="77">
        <v>0</v>
      </c>
      <c r="K460" s="77">
        <v>0</v>
      </c>
      <c r="L460" s="85">
        <v>0</v>
      </c>
      <c r="M460" s="85">
        <v>0</v>
      </c>
      <c r="N460" s="134"/>
      <c r="O460" s="43"/>
    </row>
    <row r="461" spans="1:15" s="38" customFormat="1" ht="12" x14ac:dyDescent="0.2">
      <c r="A461" s="43">
        <v>349</v>
      </c>
      <c r="B461" s="136" t="s">
        <v>12</v>
      </c>
      <c r="C461" s="85">
        <f>SUM(D461:M461)</f>
        <v>0</v>
      </c>
      <c r="D461" s="85">
        <v>0</v>
      </c>
      <c r="E461" s="85">
        <v>0</v>
      </c>
      <c r="F461" s="85">
        <v>0</v>
      </c>
      <c r="G461" s="85">
        <v>0</v>
      </c>
      <c r="H461" s="85">
        <v>0</v>
      </c>
      <c r="I461" s="77">
        <v>0</v>
      </c>
      <c r="J461" s="77">
        <v>0</v>
      </c>
      <c r="K461" s="77">
        <v>0</v>
      </c>
      <c r="L461" s="85">
        <v>0</v>
      </c>
      <c r="M461" s="85">
        <v>0</v>
      </c>
      <c r="N461" s="134"/>
      <c r="O461" s="43"/>
    </row>
    <row r="462" spans="1:15" s="38" customFormat="1" ht="12" x14ac:dyDescent="0.2">
      <c r="A462" s="43">
        <v>350</v>
      </c>
      <c r="B462" s="221" t="s">
        <v>61</v>
      </c>
      <c r="C462" s="222"/>
      <c r="D462" s="222"/>
      <c r="E462" s="222"/>
      <c r="F462" s="222"/>
      <c r="G462" s="222"/>
      <c r="H462" s="222"/>
      <c r="I462" s="222"/>
      <c r="J462" s="222"/>
      <c r="K462" s="222"/>
      <c r="L462" s="222"/>
      <c r="M462" s="222"/>
      <c r="N462" s="223"/>
      <c r="O462" s="43"/>
    </row>
    <row r="463" spans="1:15" s="38" customFormat="1" ht="24" x14ac:dyDescent="0.2">
      <c r="A463" s="43">
        <v>351</v>
      </c>
      <c r="B463" s="82" t="s">
        <v>71</v>
      </c>
      <c r="C463" s="132">
        <f>SUM(D463:M463)</f>
        <v>4383719.3900000006</v>
      </c>
      <c r="D463" s="68">
        <f t="shared" ref="D463:H463" si="318">SUM(D465:D467)</f>
        <v>309148</v>
      </c>
      <c r="E463" s="68">
        <f t="shared" si="318"/>
        <v>360085.11</v>
      </c>
      <c r="F463" s="68">
        <f t="shared" si="318"/>
        <v>460700.47</v>
      </c>
      <c r="G463" s="120">
        <f t="shared" si="318"/>
        <v>347585.80999999994</v>
      </c>
      <c r="H463" s="120">
        <f t="shared" si="318"/>
        <v>539999.99999999988</v>
      </c>
      <c r="I463" s="155">
        <f>SUM(I465:I467)</f>
        <v>205000</v>
      </c>
      <c r="J463" s="155">
        <f>SUM(J465:J467)</f>
        <v>450600</v>
      </c>
      <c r="K463" s="155">
        <f>SUM(K465:K467)</f>
        <v>450600</v>
      </c>
      <c r="L463" s="68">
        <f>SUM(L465:L467)</f>
        <v>630000</v>
      </c>
      <c r="M463" s="68">
        <f>SUM(M465:M467)</f>
        <v>630000</v>
      </c>
      <c r="N463" s="54"/>
      <c r="O463" s="43"/>
    </row>
    <row r="464" spans="1:15" s="38" customFormat="1" ht="12" x14ac:dyDescent="0.2">
      <c r="A464" s="43">
        <v>352</v>
      </c>
      <c r="B464" s="61" t="s">
        <v>59</v>
      </c>
      <c r="C464" s="69">
        <f>SUM(D464:M464)</f>
        <v>0</v>
      </c>
      <c r="D464" s="69">
        <v>0</v>
      </c>
      <c r="E464" s="69">
        <v>0</v>
      </c>
      <c r="F464" s="69">
        <v>0</v>
      </c>
      <c r="G464" s="85">
        <v>0</v>
      </c>
      <c r="H464" s="85">
        <v>0</v>
      </c>
      <c r="I464" s="77">
        <v>0</v>
      </c>
      <c r="J464" s="77">
        <v>0</v>
      </c>
      <c r="K464" s="77">
        <v>0</v>
      </c>
      <c r="L464" s="69">
        <v>0</v>
      </c>
      <c r="M464" s="69">
        <v>0</v>
      </c>
      <c r="N464" s="54"/>
      <c r="O464" s="43"/>
    </row>
    <row r="465" spans="1:15" s="38" customFormat="1" ht="12" x14ac:dyDescent="0.2">
      <c r="A465" s="43">
        <v>353</v>
      </c>
      <c r="B465" s="83" t="s">
        <v>10</v>
      </c>
      <c r="C465" s="69">
        <f>SUM(D465:M465)</f>
        <v>0</v>
      </c>
      <c r="D465" s="69">
        <f t="shared" ref="D465:I467" si="319">D470+D491+D513</f>
        <v>0</v>
      </c>
      <c r="E465" s="69">
        <f t="shared" si="319"/>
        <v>0</v>
      </c>
      <c r="F465" s="69">
        <f t="shared" si="319"/>
        <v>0</v>
      </c>
      <c r="G465" s="85">
        <f t="shared" si="319"/>
        <v>0</v>
      </c>
      <c r="H465" s="85">
        <f t="shared" si="319"/>
        <v>0</v>
      </c>
      <c r="I465" s="77">
        <f t="shared" si="319"/>
        <v>0</v>
      </c>
      <c r="J465" s="77">
        <f t="shared" ref="J465:M465" si="320">J470+J491+J513</f>
        <v>0</v>
      </c>
      <c r="K465" s="77">
        <f t="shared" si="320"/>
        <v>0</v>
      </c>
      <c r="L465" s="69">
        <f t="shared" si="320"/>
        <v>0</v>
      </c>
      <c r="M465" s="69">
        <f t="shared" si="320"/>
        <v>0</v>
      </c>
      <c r="N465" s="54"/>
      <c r="O465" s="43"/>
    </row>
    <row r="466" spans="1:15" s="38" customFormat="1" ht="12" x14ac:dyDescent="0.2">
      <c r="A466" s="43">
        <v>354</v>
      </c>
      <c r="B466" s="83" t="s">
        <v>11</v>
      </c>
      <c r="C466" s="69">
        <f>SUM(D466:M466)</f>
        <v>4383719.3900000006</v>
      </c>
      <c r="D466" s="61">
        <f t="shared" si="319"/>
        <v>309148</v>
      </c>
      <c r="E466" s="61">
        <f t="shared" si="319"/>
        <v>360085.11</v>
      </c>
      <c r="F466" s="61">
        <f t="shared" si="319"/>
        <v>460700.47</v>
      </c>
      <c r="G466" s="126">
        <f t="shared" ref="G466:M466" si="321">G471+G492+G514</f>
        <v>347585.80999999994</v>
      </c>
      <c r="H466" s="126">
        <f t="shared" si="321"/>
        <v>539999.99999999988</v>
      </c>
      <c r="I466" s="162">
        <f t="shared" si="321"/>
        <v>205000</v>
      </c>
      <c r="J466" s="162">
        <f t="shared" si="321"/>
        <v>450600</v>
      </c>
      <c r="K466" s="162">
        <f t="shared" si="321"/>
        <v>450600</v>
      </c>
      <c r="L466" s="61">
        <f t="shared" si="321"/>
        <v>630000</v>
      </c>
      <c r="M466" s="61">
        <f t="shared" si="321"/>
        <v>630000</v>
      </c>
      <c r="N466" s="54"/>
      <c r="O466" s="43"/>
    </row>
    <row r="467" spans="1:15" s="38" customFormat="1" ht="12" x14ac:dyDescent="0.2">
      <c r="A467" s="43">
        <v>355</v>
      </c>
      <c r="B467" s="83" t="s">
        <v>12</v>
      </c>
      <c r="C467" s="69">
        <f>SUM(D467:M467)</f>
        <v>0</v>
      </c>
      <c r="D467" s="61">
        <f t="shared" si="319"/>
        <v>0</v>
      </c>
      <c r="E467" s="61">
        <f t="shared" si="319"/>
        <v>0</v>
      </c>
      <c r="F467" s="61">
        <f t="shared" si="319"/>
        <v>0</v>
      </c>
      <c r="G467" s="126">
        <f t="shared" si="319"/>
        <v>0</v>
      </c>
      <c r="H467" s="126">
        <f t="shared" si="319"/>
        <v>0</v>
      </c>
      <c r="I467" s="162">
        <f t="shared" si="319"/>
        <v>0</v>
      </c>
      <c r="J467" s="162">
        <f t="shared" ref="J467:M467" si="322">J472+J493+J515</f>
        <v>0</v>
      </c>
      <c r="K467" s="162">
        <f t="shared" si="322"/>
        <v>0</v>
      </c>
      <c r="L467" s="61">
        <f t="shared" si="322"/>
        <v>0</v>
      </c>
      <c r="M467" s="61">
        <f t="shared" si="322"/>
        <v>0</v>
      </c>
      <c r="N467" s="54"/>
      <c r="O467" s="43"/>
    </row>
    <row r="468" spans="1:15" s="38" customFormat="1" ht="72" x14ac:dyDescent="0.2">
      <c r="A468" s="43">
        <v>356</v>
      </c>
      <c r="B468" s="95" t="s">
        <v>219</v>
      </c>
      <c r="C468" s="91" t="s">
        <v>48</v>
      </c>
      <c r="D468" s="69">
        <v>0</v>
      </c>
      <c r="E468" s="69">
        <v>0</v>
      </c>
      <c r="F468" s="69">
        <v>0</v>
      </c>
      <c r="G468" s="85">
        <v>0</v>
      </c>
      <c r="H468" s="85">
        <v>0</v>
      </c>
      <c r="I468" s="77">
        <v>0</v>
      </c>
      <c r="J468" s="77">
        <v>0</v>
      </c>
      <c r="K468" s="77">
        <v>0</v>
      </c>
      <c r="L468" s="69">
        <v>0</v>
      </c>
      <c r="M468" s="69">
        <v>0</v>
      </c>
      <c r="N468" s="54" t="s">
        <v>196</v>
      </c>
      <c r="O468" s="43" t="s">
        <v>149</v>
      </c>
    </row>
    <row r="469" spans="1:15" s="38" customFormat="1" ht="12" x14ac:dyDescent="0.2">
      <c r="A469" s="43">
        <v>357</v>
      </c>
      <c r="B469" s="61" t="s">
        <v>59</v>
      </c>
      <c r="C469" s="69">
        <f>SUM(D469:M469)</f>
        <v>0</v>
      </c>
      <c r="D469" s="69">
        <v>0</v>
      </c>
      <c r="E469" s="69">
        <v>0</v>
      </c>
      <c r="F469" s="69">
        <v>0</v>
      </c>
      <c r="G469" s="85">
        <v>0</v>
      </c>
      <c r="H469" s="85">
        <v>0</v>
      </c>
      <c r="I469" s="77">
        <v>0</v>
      </c>
      <c r="J469" s="77">
        <v>0</v>
      </c>
      <c r="K469" s="77">
        <v>0</v>
      </c>
      <c r="L469" s="69">
        <v>0</v>
      </c>
      <c r="M469" s="69">
        <v>0</v>
      </c>
      <c r="N469" s="79"/>
      <c r="O469" s="43"/>
    </row>
    <row r="470" spans="1:15" s="38" customFormat="1" ht="12" x14ac:dyDescent="0.2">
      <c r="A470" s="43">
        <v>358</v>
      </c>
      <c r="B470" s="94" t="s">
        <v>10</v>
      </c>
      <c r="C470" s="69">
        <f>SUM(D470:M470)</f>
        <v>0</v>
      </c>
      <c r="D470" s="69">
        <v>0</v>
      </c>
      <c r="E470" s="69">
        <v>0</v>
      </c>
      <c r="F470" s="69">
        <v>0</v>
      </c>
      <c r="G470" s="85">
        <v>0</v>
      </c>
      <c r="H470" s="85">
        <v>0</v>
      </c>
      <c r="I470" s="77">
        <v>0</v>
      </c>
      <c r="J470" s="77">
        <v>0</v>
      </c>
      <c r="K470" s="77">
        <v>0</v>
      </c>
      <c r="L470" s="69">
        <v>0</v>
      </c>
      <c r="M470" s="69">
        <v>0</v>
      </c>
      <c r="N470" s="79"/>
      <c r="O470" s="43"/>
    </row>
    <row r="471" spans="1:15" s="38" customFormat="1" ht="12" x14ac:dyDescent="0.2">
      <c r="A471" s="43">
        <v>359</v>
      </c>
      <c r="B471" s="94" t="s">
        <v>11</v>
      </c>
      <c r="C471" s="69">
        <f>SUM(D471:M471)</f>
        <v>0</v>
      </c>
      <c r="D471" s="69">
        <v>0</v>
      </c>
      <c r="E471" s="69">
        <v>0</v>
      </c>
      <c r="F471" s="69">
        <v>0</v>
      </c>
      <c r="G471" s="85">
        <v>0</v>
      </c>
      <c r="H471" s="85">
        <v>0</v>
      </c>
      <c r="I471" s="77">
        <v>0</v>
      </c>
      <c r="J471" s="77">
        <v>0</v>
      </c>
      <c r="K471" s="77">
        <v>0</v>
      </c>
      <c r="L471" s="69">
        <v>0</v>
      </c>
      <c r="M471" s="69">
        <v>0</v>
      </c>
      <c r="N471" s="79"/>
      <c r="O471" s="43"/>
    </row>
    <row r="472" spans="1:15" s="38" customFormat="1" ht="12" x14ac:dyDescent="0.2">
      <c r="A472" s="43">
        <v>360</v>
      </c>
      <c r="B472" s="94" t="s">
        <v>12</v>
      </c>
      <c r="C472" s="69">
        <f>SUM(D472:M472)</f>
        <v>0</v>
      </c>
      <c r="D472" s="69">
        <v>0</v>
      </c>
      <c r="E472" s="69">
        <v>0</v>
      </c>
      <c r="F472" s="69">
        <v>0</v>
      </c>
      <c r="G472" s="85">
        <v>0</v>
      </c>
      <c r="H472" s="85">
        <v>0</v>
      </c>
      <c r="I472" s="77">
        <v>0</v>
      </c>
      <c r="J472" s="77">
        <v>0</v>
      </c>
      <c r="K472" s="77">
        <v>0</v>
      </c>
      <c r="L472" s="69">
        <v>0</v>
      </c>
      <c r="M472" s="69">
        <v>0</v>
      </c>
      <c r="N472" s="79"/>
      <c r="O472" s="43"/>
    </row>
    <row r="473" spans="1:15" s="38" customFormat="1" ht="84" x14ac:dyDescent="0.2">
      <c r="A473" s="43">
        <v>378</v>
      </c>
      <c r="B473" s="94" t="s">
        <v>49</v>
      </c>
      <c r="C473" s="91"/>
      <c r="D473" s="91"/>
      <c r="E473" s="91"/>
      <c r="F473" s="91"/>
      <c r="G473" s="99"/>
      <c r="H473" s="99"/>
      <c r="I473" s="160"/>
      <c r="J473" s="160"/>
      <c r="K473" s="160"/>
      <c r="L473" s="114"/>
      <c r="M473" s="114"/>
      <c r="N473" s="79"/>
      <c r="O473" s="43"/>
    </row>
    <row r="474" spans="1:15" s="38" customFormat="1" ht="12" x14ac:dyDescent="0.2">
      <c r="A474" s="43">
        <v>379</v>
      </c>
      <c r="B474" s="94" t="s">
        <v>10</v>
      </c>
      <c r="C474" s="69">
        <f>SUM(D474:M474)</f>
        <v>0</v>
      </c>
      <c r="D474" s="91"/>
      <c r="E474" s="91"/>
      <c r="F474" s="91"/>
      <c r="G474" s="99"/>
      <c r="H474" s="99"/>
      <c r="I474" s="160"/>
      <c r="J474" s="160"/>
      <c r="K474" s="160"/>
      <c r="L474" s="114"/>
      <c r="M474" s="114"/>
      <c r="N474" s="79"/>
      <c r="O474" s="43"/>
    </row>
    <row r="475" spans="1:15" s="38" customFormat="1" ht="12" x14ac:dyDescent="0.2">
      <c r="A475" s="43">
        <v>380</v>
      </c>
      <c r="B475" s="94" t="s">
        <v>11</v>
      </c>
      <c r="C475" s="69">
        <f>SUM(D475:M475)</f>
        <v>0</v>
      </c>
      <c r="D475" s="91"/>
      <c r="E475" s="91"/>
      <c r="F475" s="91"/>
      <c r="G475" s="99"/>
      <c r="H475" s="99"/>
      <c r="I475" s="160"/>
      <c r="J475" s="160"/>
      <c r="K475" s="160"/>
      <c r="L475" s="114"/>
      <c r="M475" s="114"/>
      <c r="N475" s="79"/>
      <c r="O475" s="43"/>
    </row>
    <row r="476" spans="1:15" s="38" customFormat="1" ht="12" x14ac:dyDescent="0.2">
      <c r="A476" s="43">
        <v>352</v>
      </c>
      <c r="B476" s="94" t="s">
        <v>12</v>
      </c>
      <c r="C476" s="69">
        <f>SUM(D476:M476)</f>
        <v>0</v>
      </c>
      <c r="D476" s="91"/>
      <c r="E476" s="91"/>
      <c r="F476" s="91"/>
      <c r="G476" s="99"/>
      <c r="H476" s="99"/>
      <c r="I476" s="160"/>
      <c r="J476" s="160"/>
      <c r="K476" s="160"/>
      <c r="L476" s="114"/>
      <c r="M476" s="114"/>
      <c r="N476" s="79"/>
      <c r="O476" s="43"/>
    </row>
    <row r="477" spans="1:15" s="38" customFormat="1" ht="72" x14ac:dyDescent="0.2">
      <c r="A477" s="43">
        <v>353</v>
      </c>
      <c r="B477" s="94" t="s">
        <v>50</v>
      </c>
      <c r="C477" s="91"/>
      <c r="D477" s="91"/>
      <c r="E477" s="91"/>
      <c r="F477" s="91"/>
      <c r="G477" s="99"/>
      <c r="H477" s="99"/>
      <c r="I477" s="160"/>
      <c r="J477" s="160"/>
      <c r="K477" s="160"/>
      <c r="L477" s="114"/>
      <c r="M477" s="114"/>
      <c r="N477" s="79"/>
      <c r="O477" s="43"/>
    </row>
    <row r="478" spans="1:15" s="38" customFormat="1" ht="12" x14ac:dyDescent="0.2">
      <c r="A478" s="43">
        <v>354</v>
      </c>
      <c r="B478" s="94" t="s">
        <v>10</v>
      </c>
      <c r="C478" s="69">
        <f>SUM(D478:M478)</f>
        <v>0</v>
      </c>
      <c r="D478" s="91"/>
      <c r="E478" s="91"/>
      <c r="F478" s="91"/>
      <c r="G478" s="99"/>
      <c r="H478" s="99"/>
      <c r="I478" s="160"/>
      <c r="J478" s="160"/>
      <c r="K478" s="160"/>
      <c r="L478" s="114"/>
      <c r="M478" s="114"/>
      <c r="N478" s="79"/>
      <c r="O478" s="43"/>
    </row>
    <row r="479" spans="1:15" s="38" customFormat="1" ht="12" x14ac:dyDescent="0.2">
      <c r="A479" s="43">
        <v>355</v>
      </c>
      <c r="B479" s="94" t="s">
        <v>11</v>
      </c>
      <c r="C479" s="69">
        <f>SUM(D479:M479)</f>
        <v>0</v>
      </c>
      <c r="D479" s="91"/>
      <c r="E479" s="91"/>
      <c r="F479" s="91"/>
      <c r="G479" s="99"/>
      <c r="H479" s="99"/>
      <c r="I479" s="160"/>
      <c r="J479" s="160"/>
      <c r="K479" s="160"/>
      <c r="L479" s="114"/>
      <c r="M479" s="114"/>
      <c r="N479" s="79"/>
      <c r="O479" s="43"/>
    </row>
    <row r="480" spans="1:15" s="38" customFormat="1" ht="12" x14ac:dyDescent="0.2">
      <c r="A480" s="43">
        <v>356</v>
      </c>
      <c r="B480" s="94" t="s">
        <v>12</v>
      </c>
      <c r="C480" s="69">
        <f>SUM(D480:M480)</f>
        <v>0</v>
      </c>
      <c r="D480" s="91"/>
      <c r="E480" s="91"/>
      <c r="F480" s="91"/>
      <c r="G480" s="99"/>
      <c r="H480" s="99"/>
      <c r="I480" s="160"/>
      <c r="J480" s="160"/>
      <c r="K480" s="160"/>
      <c r="L480" s="114"/>
      <c r="M480" s="114"/>
      <c r="N480" s="79"/>
      <c r="O480" s="43"/>
    </row>
    <row r="481" spans="1:15" s="38" customFormat="1" ht="60" x14ac:dyDescent="0.2">
      <c r="A481" s="43">
        <v>357</v>
      </c>
      <c r="B481" s="94" t="s">
        <v>51</v>
      </c>
      <c r="C481" s="91"/>
      <c r="D481" s="91"/>
      <c r="E481" s="91"/>
      <c r="F481" s="91"/>
      <c r="G481" s="99"/>
      <c r="H481" s="99"/>
      <c r="I481" s="160"/>
      <c r="J481" s="160"/>
      <c r="K481" s="160"/>
      <c r="L481" s="114"/>
      <c r="M481" s="114"/>
      <c r="N481" s="79"/>
      <c r="O481" s="43"/>
    </row>
    <row r="482" spans="1:15" s="38" customFormat="1" ht="12" x14ac:dyDescent="0.2">
      <c r="A482" s="43">
        <v>358</v>
      </c>
      <c r="B482" s="94" t="s">
        <v>10</v>
      </c>
      <c r="C482" s="69">
        <f>SUM(D482:M482)</f>
        <v>0</v>
      </c>
      <c r="D482" s="91"/>
      <c r="E482" s="91"/>
      <c r="F482" s="91"/>
      <c r="G482" s="99"/>
      <c r="H482" s="99"/>
      <c r="I482" s="160"/>
      <c r="J482" s="160"/>
      <c r="K482" s="160"/>
      <c r="L482" s="114"/>
      <c r="M482" s="114"/>
      <c r="N482" s="79"/>
      <c r="O482" s="43"/>
    </row>
    <row r="483" spans="1:15" s="38" customFormat="1" ht="12" x14ac:dyDescent="0.2">
      <c r="A483" s="43">
        <v>359</v>
      </c>
      <c r="B483" s="94" t="s">
        <v>11</v>
      </c>
      <c r="C483" s="69">
        <f>SUM(D483:M483)</f>
        <v>0</v>
      </c>
      <c r="D483" s="91"/>
      <c r="E483" s="91"/>
      <c r="F483" s="91"/>
      <c r="G483" s="99"/>
      <c r="H483" s="99"/>
      <c r="I483" s="160"/>
      <c r="J483" s="160"/>
      <c r="K483" s="160"/>
      <c r="L483" s="114"/>
      <c r="M483" s="114"/>
      <c r="N483" s="79"/>
      <c r="O483" s="43"/>
    </row>
    <row r="484" spans="1:15" s="38" customFormat="1" ht="12" x14ac:dyDescent="0.2">
      <c r="A484" s="43">
        <v>360</v>
      </c>
      <c r="B484" s="94" t="s">
        <v>12</v>
      </c>
      <c r="C484" s="69">
        <f>SUM(D484:M484)</f>
        <v>0</v>
      </c>
      <c r="D484" s="91"/>
      <c r="E484" s="91"/>
      <c r="F484" s="91"/>
      <c r="G484" s="99"/>
      <c r="H484" s="99"/>
      <c r="I484" s="160"/>
      <c r="J484" s="160"/>
      <c r="K484" s="160"/>
      <c r="L484" s="114"/>
      <c r="M484" s="114"/>
      <c r="N484" s="79"/>
      <c r="O484" s="43"/>
    </row>
    <row r="485" spans="1:15" s="38" customFormat="1" ht="48" x14ac:dyDescent="0.2">
      <c r="A485" s="43">
        <v>361</v>
      </c>
      <c r="B485" s="94" t="s">
        <v>52</v>
      </c>
      <c r="C485" s="91"/>
      <c r="D485" s="91"/>
      <c r="E485" s="91"/>
      <c r="F485" s="91"/>
      <c r="G485" s="99"/>
      <c r="H485" s="99"/>
      <c r="I485" s="160"/>
      <c r="J485" s="160"/>
      <c r="K485" s="160"/>
      <c r="L485" s="114"/>
      <c r="M485" s="114"/>
      <c r="N485" s="79"/>
      <c r="O485" s="43"/>
    </row>
    <row r="486" spans="1:15" s="38" customFormat="1" ht="12" x14ac:dyDescent="0.2">
      <c r="A486" s="43">
        <v>362</v>
      </c>
      <c r="B486" s="94" t="s">
        <v>10</v>
      </c>
      <c r="C486" s="69">
        <f t="shared" ref="C486:C527" si="323">SUM(D486:M486)</f>
        <v>0</v>
      </c>
      <c r="D486" s="91"/>
      <c r="E486" s="91"/>
      <c r="F486" s="91"/>
      <c r="G486" s="99"/>
      <c r="H486" s="99"/>
      <c r="I486" s="160"/>
      <c r="J486" s="160"/>
      <c r="K486" s="160"/>
      <c r="L486" s="114"/>
      <c r="M486" s="114"/>
      <c r="N486" s="79"/>
      <c r="O486" s="43"/>
    </row>
    <row r="487" spans="1:15" s="38" customFormat="1" ht="12" x14ac:dyDescent="0.2">
      <c r="A487" s="43">
        <v>363</v>
      </c>
      <c r="B487" s="94" t="s">
        <v>11</v>
      </c>
      <c r="C487" s="69">
        <f t="shared" si="323"/>
        <v>0</v>
      </c>
      <c r="D487" s="91"/>
      <c r="E487" s="91"/>
      <c r="F487" s="91"/>
      <c r="G487" s="99"/>
      <c r="H487" s="99"/>
      <c r="I487" s="160"/>
      <c r="J487" s="160"/>
      <c r="K487" s="160"/>
      <c r="L487" s="114"/>
      <c r="M487" s="114"/>
      <c r="N487" s="79"/>
      <c r="O487" s="43"/>
    </row>
    <row r="488" spans="1:15" s="38" customFormat="1" ht="12" x14ac:dyDescent="0.2">
      <c r="A488" s="43">
        <v>364</v>
      </c>
      <c r="B488" s="94" t="s">
        <v>12</v>
      </c>
      <c r="C488" s="69">
        <f t="shared" si="323"/>
        <v>0</v>
      </c>
      <c r="D488" s="91"/>
      <c r="E488" s="91"/>
      <c r="F488" s="91"/>
      <c r="G488" s="99"/>
      <c r="H488" s="99"/>
      <c r="I488" s="160"/>
      <c r="J488" s="160"/>
      <c r="K488" s="160"/>
      <c r="L488" s="114"/>
      <c r="M488" s="114"/>
      <c r="N488" s="79"/>
      <c r="O488" s="43"/>
    </row>
    <row r="489" spans="1:15" s="38" customFormat="1" ht="96" x14ac:dyDescent="0.2">
      <c r="A489" s="43">
        <v>361</v>
      </c>
      <c r="B489" s="95" t="s">
        <v>218</v>
      </c>
      <c r="C489" s="132">
        <f t="shared" si="323"/>
        <v>4383719.3900000006</v>
      </c>
      <c r="D489" s="73">
        <f t="shared" ref="D489:I489" si="324">SUM(D491:D493)</f>
        <v>309148</v>
      </c>
      <c r="E489" s="73">
        <f t="shared" si="324"/>
        <v>360085.11</v>
      </c>
      <c r="F489" s="73">
        <f t="shared" si="324"/>
        <v>460700.47</v>
      </c>
      <c r="G489" s="122">
        <f t="shared" si="324"/>
        <v>347585.80999999994</v>
      </c>
      <c r="H489" s="122">
        <f t="shared" si="324"/>
        <v>539999.99999999988</v>
      </c>
      <c r="I489" s="156">
        <f t="shared" si="324"/>
        <v>205000</v>
      </c>
      <c r="J489" s="156">
        <f>J490+J491+J492+J493</f>
        <v>450600</v>
      </c>
      <c r="K489" s="156">
        <f>K490+K491+K492+K493</f>
        <v>450600</v>
      </c>
      <c r="L489" s="73">
        <f>L490+L491+L492+L493</f>
        <v>630000</v>
      </c>
      <c r="M489" s="73">
        <f>M490+M491+M492+M493</f>
        <v>630000</v>
      </c>
      <c r="N489" s="54" t="s">
        <v>196</v>
      </c>
      <c r="O489" s="43" t="s">
        <v>149</v>
      </c>
    </row>
    <row r="490" spans="1:15" s="38" customFormat="1" ht="12" x14ac:dyDescent="0.2">
      <c r="A490" s="43">
        <v>362</v>
      </c>
      <c r="B490" s="61" t="s">
        <v>59</v>
      </c>
      <c r="C490" s="69">
        <f t="shared" si="323"/>
        <v>0</v>
      </c>
      <c r="D490" s="69">
        <v>0</v>
      </c>
      <c r="E490" s="69">
        <v>0</v>
      </c>
      <c r="F490" s="69">
        <v>0</v>
      </c>
      <c r="G490" s="85">
        <v>0</v>
      </c>
      <c r="H490" s="85">
        <v>0</v>
      </c>
      <c r="I490" s="77">
        <v>0</v>
      </c>
      <c r="J490" s="77"/>
      <c r="K490" s="77"/>
      <c r="L490" s="69"/>
      <c r="M490" s="69"/>
      <c r="N490" s="79"/>
      <c r="O490" s="43"/>
    </row>
    <row r="491" spans="1:15" s="38" customFormat="1" ht="12" x14ac:dyDescent="0.2">
      <c r="A491" s="43">
        <v>363</v>
      </c>
      <c r="B491" s="94" t="s">
        <v>10</v>
      </c>
      <c r="C491" s="69">
        <f t="shared" si="323"/>
        <v>0</v>
      </c>
      <c r="D491" s="69">
        <f t="shared" ref="D491:I491" si="325">(D495+D499+D503)*1000</f>
        <v>0</v>
      </c>
      <c r="E491" s="69">
        <f t="shared" si="325"/>
        <v>0</v>
      </c>
      <c r="F491" s="69">
        <f t="shared" si="325"/>
        <v>0</v>
      </c>
      <c r="G491" s="85">
        <f t="shared" si="325"/>
        <v>0</v>
      </c>
      <c r="H491" s="85">
        <f t="shared" si="325"/>
        <v>0</v>
      </c>
      <c r="I491" s="77">
        <f t="shared" si="325"/>
        <v>0</v>
      </c>
      <c r="J491" s="77"/>
      <c r="K491" s="77"/>
      <c r="L491" s="69"/>
      <c r="M491" s="69"/>
      <c r="N491" s="79"/>
      <c r="O491" s="43"/>
    </row>
    <row r="492" spans="1:15" s="38" customFormat="1" ht="12" x14ac:dyDescent="0.2">
      <c r="A492" s="43">
        <v>364</v>
      </c>
      <c r="B492" s="94" t="s">
        <v>11</v>
      </c>
      <c r="C492" s="69">
        <f t="shared" si="323"/>
        <v>4383719.3900000006</v>
      </c>
      <c r="D492" s="69">
        <f>(D496+D500+D504)*1000-100852</f>
        <v>309148</v>
      </c>
      <c r="E492" s="69">
        <f>(E496+E500+E504)*1000-17057-67857.89-65000</f>
        <v>360085.11</v>
      </c>
      <c r="F492" s="69">
        <f>(F496+F500+F504)*1000+92000.47-40757-83406.52-45136.48</f>
        <v>460700.47</v>
      </c>
      <c r="G492" s="85">
        <f>(G496+G500+G504)*1000+92000.47+0.34-282415</f>
        <v>347585.80999999994</v>
      </c>
      <c r="H492" s="85">
        <f>(H496+H500+H504)*1000+30000.47+0.44-30000.91-60000</f>
        <v>539999.99999999988</v>
      </c>
      <c r="I492" s="77">
        <v>205000</v>
      </c>
      <c r="J492" s="77">
        <v>450600</v>
      </c>
      <c r="K492" s="77">
        <v>450600</v>
      </c>
      <c r="L492" s="69">
        <v>630000</v>
      </c>
      <c r="M492" s="69">
        <v>630000</v>
      </c>
      <c r="N492" s="79"/>
      <c r="O492" s="43"/>
    </row>
    <row r="493" spans="1:15" s="38" customFormat="1" ht="12" x14ac:dyDescent="0.2">
      <c r="A493" s="43">
        <v>365</v>
      </c>
      <c r="B493" s="94" t="s">
        <v>12</v>
      </c>
      <c r="C493" s="69">
        <f t="shared" si="323"/>
        <v>0</v>
      </c>
      <c r="D493" s="69">
        <f t="shared" ref="D493:I493" si="326">(D497+D501+D505)*1000</f>
        <v>0</v>
      </c>
      <c r="E493" s="69">
        <f t="shared" si="326"/>
        <v>0</v>
      </c>
      <c r="F493" s="69">
        <f t="shared" si="326"/>
        <v>0</v>
      </c>
      <c r="G493" s="85">
        <f t="shared" si="326"/>
        <v>0</v>
      </c>
      <c r="H493" s="85">
        <f t="shared" si="326"/>
        <v>0</v>
      </c>
      <c r="I493" s="77">
        <f t="shared" si="326"/>
        <v>0</v>
      </c>
      <c r="J493" s="77"/>
      <c r="K493" s="77"/>
      <c r="L493" s="69"/>
      <c r="M493" s="69"/>
      <c r="N493" s="79"/>
      <c r="O493" s="43"/>
    </row>
    <row r="494" spans="1:15" s="38" customFormat="1" ht="24" x14ac:dyDescent="0.2">
      <c r="A494" s="43">
        <v>366</v>
      </c>
      <c r="B494" s="61" t="s">
        <v>53</v>
      </c>
      <c r="C494" s="69">
        <f t="shared" si="323"/>
        <v>36</v>
      </c>
      <c r="D494" s="68">
        <f t="shared" ref="D494:H494" si="327">SUM(D495:D497)</f>
        <v>5</v>
      </c>
      <c r="E494" s="68">
        <f t="shared" si="327"/>
        <v>5</v>
      </c>
      <c r="F494" s="68">
        <f t="shared" si="327"/>
        <v>8</v>
      </c>
      <c r="G494" s="120">
        <f t="shared" si="327"/>
        <v>8</v>
      </c>
      <c r="H494" s="120">
        <f t="shared" si="327"/>
        <v>10</v>
      </c>
      <c r="I494" s="155">
        <v>0</v>
      </c>
      <c r="J494" s="155"/>
      <c r="K494" s="155"/>
      <c r="L494" s="68"/>
      <c r="M494" s="68"/>
      <c r="N494" s="79"/>
      <c r="O494" s="43"/>
    </row>
    <row r="495" spans="1:15" s="38" customFormat="1" ht="12" x14ac:dyDescent="0.2">
      <c r="A495" s="43">
        <v>367</v>
      </c>
      <c r="B495" s="61" t="s">
        <v>10</v>
      </c>
      <c r="C495" s="69">
        <f t="shared" si="323"/>
        <v>0</v>
      </c>
      <c r="D495" s="69"/>
      <c r="E495" s="69"/>
      <c r="F495" s="69"/>
      <c r="G495" s="85"/>
      <c r="H495" s="85"/>
      <c r="I495" s="77"/>
      <c r="J495" s="77"/>
      <c r="K495" s="77"/>
      <c r="L495" s="69"/>
      <c r="M495" s="69"/>
      <c r="N495" s="79"/>
      <c r="O495" s="43"/>
    </row>
    <row r="496" spans="1:15" s="38" customFormat="1" ht="12" x14ac:dyDescent="0.2">
      <c r="A496" s="43">
        <v>368</v>
      </c>
      <c r="B496" s="61" t="s">
        <v>11</v>
      </c>
      <c r="C496" s="69">
        <f t="shared" si="323"/>
        <v>36</v>
      </c>
      <c r="D496" s="69">
        <v>5</v>
      </c>
      <c r="E496" s="69">
        <v>5</v>
      </c>
      <c r="F496" s="69">
        <v>8</v>
      </c>
      <c r="G496" s="85">
        <v>8</v>
      </c>
      <c r="H496" s="85">
        <v>10</v>
      </c>
      <c r="I496" s="77">
        <v>0</v>
      </c>
      <c r="J496" s="77"/>
      <c r="K496" s="77"/>
      <c r="L496" s="69"/>
      <c r="M496" s="69"/>
      <c r="N496" s="79"/>
      <c r="O496" s="43"/>
    </row>
    <row r="497" spans="1:15" s="38" customFormat="1" ht="12" x14ac:dyDescent="0.2">
      <c r="A497" s="43">
        <v>369</v>
      </c>
      <c r="B497" s="61" t="s">
        <v>12</v>
      </c>
      <c r="C497" s="69">
        <f t="shared" si="323"/>
        <v>0</v>
      </c>
      <c r="D497" s="69"/>
      <c r="E497" s="69"/>
      <c r="F497" s="69"/>
      <c r="G497" s="85"/>
      <c r="H497" s="85"/>
      <c r="I497" s="77"/>
      <c r="J497" s="77"/>
      <c r="K497" s="77"/>
      <c r="L497" s="69"/>
      <c r="M497" s="69"/>
      <c r="N497" s="79"/>
      <c r="O497" s="43"/>
    </row>
    <row r="498" spans="1:15" s="38" customFormat="1" ht="60" x14ac:dyDescent="0.2">
      <c r="A498" s="43">
        <v>370</v>
      </c>
      <c r="B498" s="61" t="s">
        <v>54</v>
      </c>
      <c r="C498" s="69">
        <f t="shared" si="323"/>
        <v>2410</v>
      </c>
      <c r="D498" s="68">
        <f t="shared" ref="D498:I498" si="328">SUM(D499:D501)</f>
        <v>380</v>
      </c>
      <c r="E498" s="68">
        <f t="shared" si="328"/>
        <v>480</v>
      </c>
      <c r="F498" s="68">
        <f t="shared" si="328"/>
        <v>500</v>
      </c>
      <c r="G498" s="120">
        <f t="shared" si="328"/>
        <v>500</v>
      </c>
      <c r="H498" s="120">
        <f t="shared" si="328"/>
        <v>550</v>
      </c>
      <c r="I498" s="155">
        <f t="shared" si="328"/>
        <v>0</v>
      </c>
      <c r="J498" s="155"/>
      <c r="K498" s="155"/>
      <c r="L498" s="68"/>
      <c r="M498" s="68"/>
      <c r="N498" s="79"/>
      <c r="O498" s="43"/>
    </row>
    <row r="499" spans="1:15" s="38" customFormat="1" ht="12" x14ac:dyDescent="0.2">
      <c r="A499" s="43">
        <v>371</v>
      </c>
      <c r="B499" s="61" t="s">
        <v>10</v>
      </c>
      <c r="C499" s="69">
        <f t="shared" si="323"/>
        <v>0</v>
      </c>
      <c r="D499" s="69"/>
      <c r="E499" s="69"/>
      <c r="F499" s="69"/>
      <c r="G499" s="85"/>
      <c r="H499" s="85"/>
      <c r="I499" s="77"/>
      <c r="J499" s="77"/>
      <c r="K499" s="77"/>
      <c r="L499" s="69"/>
      <c r="M499" s="69"/>
      <c r="N499" s="79"/>
      <c r="O499" s="43"/>
    </row>
    <row r="500" spans="1:15" s="38" customFormat="1" ht="12" x14ac:dyDescent="0.2">
      <c r="A500" s="43">
        <v>372</v>
      </c>
      <c r="B500" s="61" t="s">
        <v>11</v>
      </c>
      <c r="C500" s="69">
        <f t="shared" si="323"/>
        <v>2410</v>
      </c>
      <c r="D500" s="69">
        <f>460-80</f>
        <v>380</v>
      </c>
      <c r="E500" s="69">
        <v>480</v>
      </c>
      <c r="F500" s="69">
        <v>500</v>
      </c>
      <c r="G500" s="85">
        <v>500</v>
      </c>
      <c r="H500" s="85">
        <v>550</v>
      </c>
      <c r="I500" s="77">
        <v>0</v>
      </c>
      <c r="J500" s="77"/>
      <c r="K500" s="77"/>
      <c r="L500" s="69"/>
      <c r="M500" s="69"/>
      <c r="N500" s="79"/>
      <c r="O500" s="43"/>
    </row>
    <row r="501" spans="1:15" s="38" customFormat="1" ht="12" x14ac:dyDescent="0.2">
      <c r="A501" s="43">
        <v>373</v>
      </c>
      <c r="B501" s="61" t="s">
        <v>12</v>
      </c>
      <c r="C501" s="69">
        <f t="shared" si="323"/>
        <v>0</v>
      </c>
      <c r="D501" s="69"/>
      <c r="E501" s="69"/>
      <c r="F501" s="69"/>
      <c r="G501" s="85"/>
      <c r="H501" s="85"/>
      <c r="I501" s="77"/>
      <c r="J501" s="77"/>
      <c r="K501" s="77"/>
      <c r="L501" s="69"/>
      <c r="M501" s="69"/>
      <c r="N501" s="79"/>
      <c r="O501" s="43"/>
    </row>
    <row r="502" spans="1:15" s="38" customFormat="1" ht="24" x14ac:dyDescent="0.2">
      <c r="A502" s="43">
        <v>374</v>
      </c>
      <c r="B502" s="61" t="s">
        <v>55</v>
      </c>
      <c r="C502" s="69">
        <f t="shared" si="323"/>
        <v>150</v>
      </c>
      <c r="D502" s="68">
        <f t="shared" ref="D502:H502" si="329">SUM(D503:D505)</f>
        <v>25</v>
      </c>
      <c r="E502" s="68">
        <f t="shared" si="329"/>
        <v>25</v>
      </c>
      <c r="F502" s="68">
        <f t="shared" si="329"/>
        <v>30</v>
      </c>
      <c r="G502" s="120">
        <f t="shared" si="329"/>
        <v>30</v>
      </c>
      <c r="H502" s="120">
        <f t="shared" si="329"/>
        <v>40</v>
      </c>
      <c r="I502" s="155">
        <v>0</v>
      </c>
      <c r="J502" s="155"/>
      <c r="K502" s="155"/>
      <c r="L502" s="68"/>
      <c r="M502" s="68"/>
      <c r="N502" s="79"/>
      <c r="O502" s="43"/>
    </row>
    <row r="503" spans="1:15" s="38" customFormat="1" ht="12" x14ac:dyDescent="0.2">
      <c r="A503" s="43">
        <v>375</v>
      </c>
      <c r="B503" s="61" t="s">
        <v>10</v>
      </c>
      <c r="C503" s="69">
        <f t="shared" si="323"/>
        <v>0</v>
      </c>
      <c r="D503" s="69"/>
      <c r="E503" s="69"/>
      <c r="F503" s="69"/>
      <c r="G503" s="85"/>
      <c r="H503" s="85"/>
      <c r="I503" s="77"/>
      <c r="J503" s="77"/>
      <c r="K503" s="77"/>
      <c r="L503" s="69"/>
      <c r="M503" s="69"/>
      <c r="N503" s="79"/>
      <c r="O503" s="43"/>
    </row>
    <row r="504" spans="1:15" s="38" customFormat="1" ht="12" x14ac:dyDescent="0.2">
      <c r="A504" s="43">
        <v>376</v>
      </c>
      <c r="B504" s="61" t="s">
        <v>11</v>
      </c>
      <c r="C504" s="69">
        <f t="shared" si="323"/>
        <v>150</v>
      </c>
      <c r="D504" s="69">
        <v>25</v>
      </c>
      <c r="E504" s="69">
        <v>25</v>
      </c>
      <c r="F504" s="69">
        <v>30</v>
      </c>
      <c r="G504" s="85">
        <v>30</v>
      </c>
      <c r="H504" s="85">
        <v>40</v>
      </c>
      <c r="I504" s="77">
        <v>0</v>
      </c>
      <c r="J504" s="77"/>
      <c r="K504" s="77"/>
      <c r="L504" s="69"/>
      <c r="M504" s="69"/>
      <c r="N504" s="79"/>
      <c r="O504" s="43"/>
    </row>
    <row r="505" spans="1:15" s="38" customFormat="1" ht="12" x14ac:dyDescent="0.2">
      <c r="A505" s="43">
        <v>377</v>
      </c>
      <c r="B505" s="61" t="s">
        <v>12</v>
      </c>
      <c r="C505" s="69">
        <f t="shared" si="323"/>
        <v>0</v>
      </c>
      <c r="D505" s="69"/>
      <c r="E505" s="69"/>
      <c r="F505" s="69"/>
      <c r="G505" s="85"/>
      <c r="H505" s="85"/>
      <c r="I505" s="77"/>
      <c r="J505" s="77"/>
      <c r="K505" s="77"/>
      <c r="L505" s="69"/>
      <c r="M505" s="69"/>
      <c r="N505" s="79"/>
      <c r="O505" s="43"/>
    </row>
    <row r="506" spans="1:15" s="38" customFormat="1" ht="72" x14ac:dyDescent="0.2">
      <c r="A506" s="43">
        <v>366</v>
      </c>
      <c r="B506" s="65" t="s">
        <v>198</v>
      </c>
      <c r="C506" s="69">
        <f t="shared" si="323"/>
        <v>10000</v>
      </c>
      <c r="D506" s="76">
        <f t="shared" ref="D506:M506" si="330">SUM(D507:D510)</f>
        <v>0</v>
      </c>
      <c r="E506" s="76">
        <f t="shared" si="330"/>
        <v>0</v>
      </c>
      <c r="F506" s="76">
        <f t="shared" si="330"/>
        <v>10000</v>
      </c>
      <c r="G506" s="123">
        <f t="shared" si="330"/>
        <v>0</v>
      </c>
      <c r="H506" s="123">
        <f t="shared" si="330"/>
        <v>0</v>
      </c>
      <c r="I506" s="157">
        <f t="shared" si="330"/>
        <v>0</v>
      </c>
      <c r="J506" s="157">
        <f t="shared" si="330"/>
        <v>0</v>
      </c>
      <c r="K506" s="157">
        <f t="shared" si="330"/>
        <v>0</v>
      </c>
      <c r="L506" s="76">
        <f t="shared" si="330"/>
        <v>0</v>
      </c>
      <c r="M506" s="76">
        <f t="shared" si="330"/>
        <v>0</v>
      </c>
      <c r="N506" s="54" t="s">
        <v>196</v>
      </c>
      <c r="O506" s="43" t="s">
        <v>149</v>
      </c>
    </row>
    <row r="507" spans="1:15" s="38" customFormat="1" ht="12" x14ac:dyDescent="0.2">
      <c r="A507" s="43">
        <v>367</v>
      </c>
      <c r="B507" s="61" t="s">
        <v>59</v>
      </c>
      <c r="C507" s="69">
        <f t="shared" si="323"/>
        <v>0</v>
      </c>
      <c r="D507" s="69">
        <v>0</v>
      </c>
      <c r="E507" s="69">
        <v>0</v>
      </c>
      <c r="F507" s="69">
        <v>0</v>
      </c>
      <c r="G507" s="85">
        <v>0</v>
      </c>
      <c r="H507" s="85">
        <v>0</v>
      </c>
      <c r="I507" s="77">
        <v>0</v>
      </c>
      <c r="J507" s="77">
        <v>0</v>
      </c>
      <c r="K507" s="77">
        <v>0</v>
      </c>
      <c r="L507" s="85">
        <v>0</v>
      </c>
      <c r="M507" s="85">
        <v>0</v>
      </c>
      <c r="N507" s="79"/>
      <c r="O507" s="43"/>
    </row>
    <row r="508" spans="1:15" s="38" customFormat="1" ht="12" x14ac:dyDescent="0.2">
      <c r="A508" s="43">
        <v>368</v>
      </c>
      <c r="B508" s="94" t="s">
        <v>10</v>
      </c>
      <c r="C508" s="69">
        <f t="shared" si="323"/>
        <v>0</v>
      </c>
      <c r="D508" s="69">
        <v>0</v>
      </c>
      <c r="E508" s="69">
        <v>0</v>
      </c>
      <c r="F508" s="69">
        <v>0</v>
      </c>
      <c r="G508" s="85">
        <v>0</v>
      </c>
      <c r="H508" s="85">
        <v>0</v>
      </c>
      <c r="I508" s="77">
        <v>0</v>
      </c>
      <c r="J508" s="77">
        <v>0</v>
      </c>
      <c r="K508" s="77">
        <v>0</v>
      </c>
      <c r="L508" s="85">
        <v>0</v>
      </c>
      <c r="M508" s="85">
        <v>0</v>
      </c>
      <c r="N508" s="79"/>
      <c r="O508" s="43"/>
    </row>
    <row r="509" spans="1:15" s="38" customFormat="1" ht="12" x14ac:dyDescent="0.2">
      <c r="A509" s="43">
        <v>369</v>
      </c>
      <c r="B509" s="94" t="s">
        <v>11</v>
      </c>
      <c r="C509" s="69">
        <f t="shared" si="323"/>
        <v>10000</v>
      </c>
      <c r="D509" s="69">
        <v>0</v>
      </c>
      <c r="E509" s="69">
        <v>0</v>
      </c>
      <c r="F509" s="69">
        <v>10000</v>
      </c>
      <c r="G509" s="85">
        <v>0</v>
      </c>
      <c r="H509" s="85">
        <v>0</v>
      </c>
      <c r="I509" s="77">
        <v>0</v>
      </c>
      <c r="J509" s="77">
        <v>0</v>
      </c>
      <c r="K509" s="77">
        <v>0</v>
      </c>
      <c r="L509" s="85">
        <v>0</v>
      </c>
      <c r="M509" s="85">
        <v>0</v>
      </c>
      <c r="N509" s="79"/>
      <c r="O509" s="43"/>
    </row>
    <row r="510" spans="1:15" s="38" customFormat="1" ht="12" x14ac:dyDescent="0.2">
      <c r="A510" s="43">
        <v>370</v>
      </c>
      <c r="B510" s="94" t="s">
        <v>12</v>
      </c>
      <c r="C510" s="69">
        <f t="shared" si="323"/>
        <v>0</v>
      </c>
      <c r="D510" s="69">
        <v>0</v>
      </c>
      <c r="E510" s="69">
        <v>0</v>
      </c>
      <c r="F510" s="69">
        <v>0</v>
      </c>
      <c r="G510" s="85">
        <v>0</v>
      </c>
      <c r="H510" s="85">
        <v>0</v>
      </c>
      <c r="I510" s="77">
        <v>0</v>
      </c>
      <c r="J510" s="77">
        <v>0</v>
      </c>
      <c r="K510" s="77">
        <v>0</v>
      </c>
      <c r="L510" s="85">
        <v>0</v>
      </c>
      <c r="M510" s="85">
        <v>0</v>
      </c>
      <c r="N510" s="79"/>
      <c r="O510" s="43"/>
    </row>
    <row r="511" spans="1:15" s="38" customFormat="1" ht="84" x14ac:dyDescent="0.2">
      <c r="A511" s="43">
        <v>371</v>
      </c>
      <c r="B511" s="65" t="s">
        <v>217</v>
      </c>
      <c r="C511" s="132">
        <f t="shared" si="323"/>
        <v>0</v>
      </c>
      <c r="D511" s="73">
        <f t="shared" ref="D511:I511" si="331">SUM(D513:D515)</f>
        <v>0</v>
      </c>
      <c r="E511" s="73">
        <f t="shared" si="331"/>
        <v>0</v>
      </c>
      <c r="F511" s="73">
        <f t="shared" si="331"/>
        <v>0</v>
      </c>
      <c r="G511" s="122">
        <f t="shared" si="331"/>
        <v>0</v>
      </c>
      <c r="H511" s="122">
        <f t="shared" si="331"/>
        <v>0</v>
      </c>
      <c r="I511" s="156">
        <f t="shared" si="331"/>
        <v>0</v>
      </c>
      <c r="J511" s="156">
        <f>J512+J513+J514+J515</f>
        <v>0</v>
      </c>
      <c r="K511" s="156">
        <f>K512+K513+K514+K515</f>
        <v>0</v>
      </c>
      <c r="L511" s="73">
        <f>L512+L513+L514+L515</f>
        <v>0</v>
      </c>
      <c r="M511" s="73">
        <f>M512+M513+M514+M515</f>
        <v>0</v>
      </c>
      <c r="N511" s="54" t="s">
        <v>196</v>
      </c>
      <c r="O511" s="43" t="s">
        <v>149</v>
      </c>
    </row>
    <row r="512" spans="1:15" s="38" customFormat="1" ht="12" x14ac:dyDescent="0.2">
      <c r="A512" s="43">
        <v>372</v>
      </c>
      <c r="B512" s="61" t="s">
        <v>59</v>
      </c>
      <c r="C512" s="69">
        <f t="shared" si="323"/>
        <v>0</v>
      </c>
      <c r="D512" s="61">
        <v>0</v>
      </c>
      <c r="E512" s="61">
        <v>0</v>
      </c>
      <c r="F512" s="61">
        <v>0</v>
      </c>
      <c r="G512" s="126">
        <v>0</v>
      </c>
      <c r="H512" s="126">
        <v>0</v>
      </c>
      <c r="I512" s="162">
        <v>0</v>
      </c>
      <c r="J512" s="162">
        <v>0</v>
      </c>
      <c r="K512" s="162">
        <v>0</v>
      </c>
      <c r="L512" s="61">
        <v>0</v>
      </c>
      <c r="M512" s="61">
        <v>0</v>
      </c>
      <c r="N512" s="79"/>
      <c r="O512" s="43"/>
    </row>
    <row r="513" spans="1:15" s="38" customFormat="1" ht="12" x14ac:dyDescent="0.2">
      <c r="A513" s="43">
        <v>373</v>
      </c>
      <c r="B513" s="61" t="s">
        <v>10</v>
      </c>
      <c r="C513" s="69">
        <f t="shared" si="323"/>
        <v>0</v>
      </c>
      <c r="D513" s="61">
        <f t="shared" ref="D513:I513" si="332">(D517+D521+D525)*1000</f>
        <v>0</v>
      </c>
      <c r="E513" s="61">
        <f t="shared" si="332"/>
        <v>0</v>
      </c>
      <c r="F513" s="61">
        <f t="shared" si="332"/>
        <v>0</v>
      </c>
      <c r="G513" s="126">
        <f t="shared" si="332"/>
        <v>0</v>
      </c>
      <c r="H513" s="126">
        <f t="shared" si="332"/>
        <v>0</v>
      </c>
      <c r="I513" s="162">
        <f t="shared" si="332"/>
        <v>0</v>
      </c>
      <c r="J513" s="162">
        <v>0</v>
      </c>
      <c r="K513" s="162">
        <v>0</v>
      </c>
      <c r="L513" s="61">
        <v>0</v>
      </c>
      <c r="M513" s="61">
        <v>0</v>
      </c>
      <c r="N513" s="79"/>
      <c r="O513" s="43"/>
    </row>
    <row r="514" spans="1:15" s="38" customFormat="1" ht="12" x14ac:dyDescent="0.2">
      <c r="A514" s="43">
        <v>374</v>
      </c>
      <c r="B514" s="61" t="s">
        <v>11</v>
      </c>
      <c r="C514" s="69">
        <f t="shared" si="323"/>
        <v>0</v>
      </c>
      <c r="D514" s="61">
        <f>(D518+D522+D526)*1000-25000</f>
        <v>0</v>
      </c>
      <c r="E514" s="61">
        <f>(E518+E522+E526)*1000-27000</f>
        <v>0</v>
      </c>
      <c r="F514" s="61">
        <f>(F518+F522+F526)*1000-7000</f>
        <v>0</v>
      </c>
      <c r="G514" s="126">
        <f>(G518+G522+G526)*1000-34000</f>
        <v>0</v>
      </c>
      <c r="H514" s="126">
        <f>(H518+H522+H526)*1000-9000</f>
        <v>0</v>
      </c>
      <c r="I514" s="162">
        <v>0</v>
      </c>
      <c r="J514" s="162">
        <v>0</v>
      </c>
      <c r="K514" s="162">
        <v>0</v>
      </c>
      <c r="L514" s="61">
        <v>0</v>
      </c>
      <c r="M514" s="61">
        <v>0</v>
      </c>
      <c r="N514" s="79"/>
      <c r="O514" s="43"/>
    </row>
    <row r="515" spans="1:15" s="38" customFormat="1" ht="12" x14ac:dyDescent="0.2">
      <c r="A515" s="43">
        <v>375</v>
      </c>
      <c r="B515" s="61" t="s">
        <v>12</v>
      </c>
      <c r="C515" s="69">
        <f t="shared" si="323"/>
        <v>0</v>
      </c>
      <c r="D515" s="61">
        <f t="shared" ref="D515:I515" si="333">(D519+D523+D527)*1000</f>
        <v>0</v>
      </c>
      <c r="E515" s="61">
        <f t="shared" si="333"/>
        <v>0</v>
      </c>
      <c r="F515" s="61">
        <f t="shared" si="333"/>
        <v>0</v>
      </c>
      <c r="G515" s="126">
        <f t="shared" si="333"/>
        <v>0</v>
      </c>
      <c r="H515" s="126">
        <f t="shared" si="333"/>
        <v>0</v>
      </c>
      <c r="I515" s="162">
        <f t="shared" si="333"/>
        <v>0</v>
      </c>
      <c r="J515" s="162">
        <v>0</v>
      </c>
      <c r="K515" s="162">
        <v>0</v>
      </c>
      <c r="L515" s="61">
        <v>0</v>
      </c>
      <c r="M515" s="61">
        <v>0</v>
      </c>
      <c r="N515" s="79"/>
      <c r="O515" s="43"/>
    </row>
    <row r="516" spans="1:15" s="38" customFormat="1" ht="60" x14ac:dyDescent="0.2">
      <c r="A516" s="43">
        <v>364</v>
      </c>
      <c r="B516" s="61" t="s">
        <v>56</v>
      </c>
      <c r="C516" s="69">
        <f t="shared" si="323"/>
        <v>0</v>
      </c>
      <c r="D516" s="91">
        <f t="shared" ref="D516:I516" si="334">SUM(D517:D519)</f>
        <v>0</v>
      </c>
      <c r="E516" s="91">
        <f t="shared" si="334"/>
        <v>0</v>
      </c>
      <c r="F516" s="91">
        <f t="shared" si="334"/>
        <v>0</v>
      </c>
      <c r="G516" s="99">
        <f t="shared" si="334"/>
        <v>0</v>
      </c>
      <c r="H516" s="99">
        <f t="shared" si="334"/>
        <v>0</v>
      </c>
      <c r="I516" s="160">
        <f t="shared" si="334"/>
        <v>0</v>
      </c>
      <c r="J516" s="160"/>
      <c r="K516" s="160"/>
      <c r="L516" s="114"/>
      <c r="M516" s="114"/>
      <c r="N516" s="79"/>
      <c r="O516" s="43"/>
    </row>
    <row r="517" spans="1:15" s="38" customFormat="1" ht="12" x14ac:dyDescent="0.2">
      <c r="A517" s="43">
        <v>365</v>
      </c>
      <c r="B517" s="61" t="s">
        <v>10</v>
      </c>
      <c r="C517" s="69">
        <f t="shared" si="323"/>
        <v>0</v>
      </c>
      <c r="D517" s="91"/>
      <c r="E517" s="91"/>
      <c r="F517" s="91"/>
      <c r="G517" s="99"/>
      <c r="H517" s="99"/>
      <c r="I517" s="160"/>
      <c r="J517" s="160"/>
      <c r="K517" s="160"/>
      <c r="L517" s="114"/>
      <c r="M517" s="114"/>
      <c r="N517" s="79"/>
      <c r="O517" s="43"/>
    </row>
    <row r="518" spans="1:15" s="38" customFormat="1" ht="12" x14ac:dyDescent="0.2">
      <c r="A518" s="43">
        <v>356</v>
      </c>
      <c r="B518" s="61" t="s">
        <v>11</v>
      </c>
      <c r="C518" s="69">
        <f t="shared" si="323"/>
        <v>0</v>
      </c>
      <c r="D518" s="91"/>
      <c r="E518" s="91"/>
      <c r="F518" s="91"/>
      <c r="G518" s="99"/>
      <c r="H518" s="99"/>
      <c r="I518" s="160"/>
      <c r="J518" s="160"/>
      <c r="K518" s="160"/>
      <c r="L518" s="114"/>
      <c r="M518" s="114"/>
      <c r="N518" s="79"/>
      <c r="O518" s="43"/>
    </row>
    <row r="519" spans="1:15" s="38" customFormat="1" ht="12" x14ac:dyDescent="0.2">
      <c r="A519" s="43">
        <v>357</v>
      </c>
      <c r="B519" s="61" t="s">
        <v>12</v>
      </c>
      <c r="C519" s="69">
        <f t="shared" si="323"/>
        <v>0</v>
      </c>
      <c r="D519" s="91"/>
      <c r="E519" s="91"/>
      <c r="F519" s="91"/>
      <c r="G519" s="99"/>
      <c r="H519" s="99"/>
      <c r="I519" s="160"/>
      <c r="J519" s="160"/>
      <c r="K519" s="160"/>
      <c r="L519" s="114"/>
      <c r="M519" s="114"/>
      <c r="N519" s="79"/>
      <c r="O519" s="43"/>
    </row>
    <row r="520" spans="1:15" s="38" customFormat="1" ht="60" x14ac:dyDescent="0.2">
      <c r="A520" s="43">
        <v>358</v>
      </c>
      <c r="B520" s="61" t="s">
        <v>57</v>
      </c>
      <c r="C520" s="69">
        <f t="shared" si="323"/>
        <v>65</v>
      </c>
      <c r="D520" s="87">
        <f t="shared" ref="D520:H520" si="335">SUM(D521:D523)</f>
        <v>20</v>
      </c>
      <c r="E520" s="87">
        <f t="shared" si="335"/>
        <v>20</v>
      </c>
      <c r="F520" s="87">
        <f t="shared" si="335"/>
        <v>0</v>
      </c>
      <c r="G520" s="127">
        <f t="shared" si="335"/>
        <v>25</v>
      </c>
      <c r="H520" s="127">
        <f t="shared" si="335"/>
        <v>0</v>
      </c>
      <c r="I520" s="159">
        <v>0</v>
      </c>
      <c r="J520" s="159"/>
      <c r="K520" s="159"/>
      <c r="L520" s="113"/>
      <c r="M520" s="113"/>
      <c r="N520" s="79"/>
      <c r="O520" s="43"/>
    </row>
    <row r="521" spans="1:15" s="38" customFormat="1" ht="12" x14ac:dyDescent="0.2">
      <c r="A521" s="43">
        <v>359</v>
      </c>
      <c r="B521" s="61" t="s">
        <v>10</v>
      </c>
      <c r="C521" s="69">
        <f t="shared" si="323"/>
        <v>0</v>
      </c>
      <c r="D521" s="91"/>
      <c r="E521" s="91"/>
      <c r="F521" s="91"/>
      <c r="G521" s="99"/>
      <c r="H521" s="99"/>
      <c r="I521" s="160"/>
      <c r="J521" s="160"/>
      <c r="K521" s="160"/>
      <c r="L521" s="114"/>
      <c r="M521" s="114"/>
      <c r="N521" s="79"/>
      <c r="O521" s="43"/>
    </row>
    <row r="522" spans="1:15" s="38" customFormat="1" ht="12" x14ac:dyDescent="0.2">
      <c r="A522" s="43">
        <v>360</v>
      </c>
      <c r="B522" s="61" t="s">
        <v>11</v>
      </c>
      <c r="C522" s="69">
        <f t="shared" si="323"/>
        <v>65</v>
      </c>
      <c r="D522" s="91">
        <v>20</v>
      </c>
      <c r="E522" s="91">
        <v>20</v>
      </c>
      <c r="F522" s="91"/>
      <c r="G522" s="99">
        <v>25</v>
      </c>
      <c r="H522" s="99"/>
      <c r="I522" s="160">
        <v>0</v>
      </c>
      <c r="J522" s="160"/>
      <c r="K522" s="160"/>
      <c r="L522" s="114"/>
      <c r="M522" s="114"/>
      <c r="N522" s="79"/>
      <c r="O522" s="43"/>
    </row>
    <row r="523" spans="1:15" s="38" customFormat="1" ht="12" x14ac:dyDescent="0.2">
      <c r="A523" s="43">
        <v>361</v>
      </c>
      <c r="B523" s="61" t="s">
        <v>12</v>
      </c>
      <c r="C523" s="69">
        <f t="shared" si="323"/>
        <v>0</v>
      </c>
      <c r="D523" s="91"/>
      <c r="E523" s="91"/>
      <c r="F523" s="91"/>
      <c r="G523" s="99"/>
      <c r="H523" s="99"/>
      <c r="I523" s="160"/>
      <c r="J523" s="160"/>
      <c r="K523" s="160"/>
      <c r="L523" s="114"/>
      <c r="M523" s="114"/>
      <c r="N523" s="79"/>
      <c r="O523" s="43"/>
    </row>
    <row r="524" spans="1:15" s="38" customFormat="1" ht="60" x14ac:dyDescent="0.2">
      <c r="A524" s="43">
        <v>362</v>
      </c>
      <c r="B524" s="61" t="s">
        <v>58</v>
      </c>
      <c r="C524" s="69">
        <f t="shared" si="323"/>
        <v>37</v>
      </c>
      <c r="D524" s="87">
        <f t="shared" ref="D524:H524" si="336">SUM(D525:D527)</f>
        <v>5</v>
      </c>
      <c r="E524" s="87">
        <f t="shared" si="336"/>
        <v>7</v>
      </c>
      <c r="F524" s="87">
        <f t="shared" si="336"/>
        <v>7</v>
      </c>
      <c r="G524" s="127">
        <f t="shared" si="336"/>
        <v>9</v>
      </c>
      <c r="H524" s="127">
        <f t="shared" si="336"/>
        <v>9</v>
      </c>
      <c r="I524" s="159">
        <v>0</v>
      </c>
      <c r="J524" s="159"/>
      <c r="K524" s="159"/>
      <c r="L524" s="113"/>
      <c r="M524" s="113"/>
      <c r="N524" s="79"/>
      <c r="O524" s="43"/>
    </row>
    <row r="525" spans="1:15" s="38" customFormat="1" ht="12" x14ac:dyDescent="0.2">
      <c r="A525" s="43">
        <v>363</v>
      </c>
      <c r="B525" s="61" t="s">
        <v>10</v>
      </c>
      <c r="C525" s="69">
        <f t="shared" si="323"/>
        <v>0</v>
      </c>
      <c r="D525" s="91"/>
      <c r="E525" s="91"/>
      <c r="F525" s="91"/>
      <c r="G525" s="99"/>
      <c r="H525" s="99"/>
      <c r="I525" s="160"/>
      <c r="J525" s="160"/>
      <c r="K525" s="160"/>
      <c r="L525" s="114"/>
      <c r="M525" s="114"/>
      <c r="N525" s="79"/>
      <c r="O525" s="43"/>
    </row>
    <row r="526" spans="1:15" s="38" customFormat="1" ht="12" x14ac:dyDescent="0.2">
      <c r="A526" s="43">
        <v>364</v>
      </c>
      <c r="B526" s="61" t="s">
        <v>11</v>
      </c>
      <c r="C526" s="69">
        <f t="shared" si="323"/>
        <v>37</v>
      </c>
      <c r="D526" s="91">
        <v>5</v>
      </c>
      <c r="E526" s="91">
        <v>7</v>
      </c>
      <c r="F526" s="91">
        <v>7</v>
      </c>
      <c r="G526" s="99">
        <v>9</v>
      </c>
      <c r="H526" s="99">
        <v>9</v>
      </c>
      <c r="I526" s="160">
        <v>0</v>
      </c>
      <c r="J526" s="160"/>
      <c r="K526" s="160"/>
      <c r="L526" s="114"/>
      <c r="M526" s="114"/>
      <c r="N526" s="79"/>
      <c r="O526" s="43"/>
    </row>
    <row r="527" spans="1:15" s="38" customFormat="1" ht="12" x14ac:dyDescent="0.2">
      <c r="A527" s="43">
        <v>365</v>
      </c>
      <c r="B527" s="61" t="s">
        <v>12</v>
      </c>
      <c r="C527" s="69">
        <f t="shared" si="323"/>
        <v>0</v>
      </c>
      <c r="D527" s="91"/>
      <c r="E527" s="91"/>
      <c r="F527" s="91"/>
      <c r="G527" s="99"/>
      <c r="H527" s="99"/>
      <c r="I527" s="160"/>
      <c r="J527" s="160"/>
      <c r="K527" s="160"/>
      <c r="L527" s="114"/>
      <c r="M527" s="114"/>
      <c r="N527" s="79"/>
      <c r="O527" s="43"/>
    </row>
    <row r="528" spans="1:15" s="38" customFormat="1" ht="12" x14ac:dyDescent="0.2">
      <c r="A528" s="43">
        <v>376</v>
      </c>
      <c r="B528" s="231" t="s">
        <v>211</v>
      </c>
      <c r="C528" s="232"/>
      <c r="D528" s="232"/>
      <c r="E528" s="232"/>
      <c r="F528" s="232"/>
      <c r="G528" s="232"/>
      <c r="H528" s="232"/>
      <c r="I528" s="232"/>
      <c r="J528" s="232"/>
      <c r="K528" s="232"/>
      <c r="L528" s="232"/>
      <c r="M528" s="232"/>
      <c r="N528" s="233"/>
      <c r="O528" s="43"/>
    </row>
    <row r="529" spans="1:15" s="38" customFormat="1" ht="12" x14ac:dyDescent="0.2">
      <c r="A529" s="43">
        <v>377</v>
      </c>
      <c r="B529" s="57" t="s">
        <v>14</v>
      </c>
      <c r="C529" s="132">
        <f>SUM(D529:M529)</f>
        <v>82549984.219999999</v>
      </c>
      <c r="D529" s="68">
        <f t="shared" ref="D529:I529" si="337">SUM(D531:D533)</f>
        <v>7816954.1299999999</v>
      </c>
      <c r="E529" s="68">
        <f t="shared" si="337"/>
        <v>7540589.29</v>
      </c>
      <c r="F529" s="68">
        <f t="shared" si="337"/>
        <v>8281860.8399999999</v>
      </c>
      <c r="G529" s="120">
        <f t="shared" si="337"/>
        <v>8791446.8200000003</v>
      </c>
      <c r="H529" s="120">
        <f t="shared" si="337"/>
        <v>8558649.2599999998</v>
      </c>
      <c r="I529" s="155">
        <f t="shared" si="337"/>
        <v>8501870.0199999996</v>
      </c>
      <c r="J529" s="155">
        <f t="shared" ref="J529:M529" si="338">SUM(J531:J533)</f>
        <v>8650318.0700000003</v>
      </c>
      <c r="K529" s="155">
        <f t="shared" si="338"/>
        <v>8933383.7899999991</v>
      </c>
      <c r="L529" s="68">
        <f t="shared" si="338"/>
        <v>7737456</v>
      </c>
      <c r="M529" s="68">
        <f t="shared" si="338"/>
        <v>7737456</v>
      </c>
      <c r="N529" s="54"/>
      <c r="O529" s="43"/>
    </row>
    <row r="530" spans="1:15" s="38" customFormat="1" ht="12" x14ac:dyDescent="0.2">
      <c r="A530" s="43">
        <v>378</v>
      </c>
      <c r="B530" s="61" t="s">
        <v>59</v>
      </c>
      <c r="C530" s="69">
        <f>SUM(D530:M530)</f>
        <v>0</v>
      </c>
      <c r="D530" s="69">
        <f>D536+D554</f>
        <v>0</v>
      </c>
      <c r="E530" s="69">
        <f t="shared" ref="E530:I533" si="339">E536+E554</f>
        <v>0</v>
      </c>
      <c r="F530" s="69">
        <f t="shared" si="339"/>
        <v>0</v>
      </c>
      <c r="G530" s="85">
        <f t="shared" si="339"/>
        <v>0</v>
      </c>
      <c r="H530" s="85">
        <f t="shared" si="339"/>
        <v>0</v>
      </c>
      <c r="I530" s="77">
        <f t="shared" si="339"/>
        <v>0</v>
      </c>
      <c r="J530" s="77">
        <f t="shared" ref="J530:M530" si="340">J536+J554</f>
        <v>0</v>
      </c>
      <c r="K530" s="77">
        <f t="shared" si="340"/>
        <v>0</v>
      </c>
      <c r="L530" s="69">
        <f t="shared" si="340"/>
        <v>0</v>
      </c>
      <c r="M530" s="69">
        <f t="shared" si="340"/>
        <v>0</v>
      </c>
      <c r="N530" s="54"/>
      <c r="O530" s="43"/>
    </row>
    <row r="531" spans="1:15" s="38" customFormat="1" ht="12" x14ac:dyDescent="0.2">
      <c r="A531" s="43">
        <v>379</v>
      </c>
      <c r="B531" s="61" t="s">
        <v>10</v>
      </c>
      <c r="C531" s="69">
        <f>SUM(D531:M531)</f>
        <v>4500</v>
      </c>
      <c r="D531" s="69">
        <f>D537+D555</f>
        <v>0</v>
      </c>
      <c r="E531" s="69">
        <f t="shared" si="339"/>
        <v>0</v>
      </c>
      <c r="F531" s="69">
        <f t="shared" si="339"/>
        <v>0</v>
      </c>
      <c r="G531" s="85">
        <f t="shared" si="339"/>
        <v>4500</v>
      </c>
      <c r="H531" s="85">
        <f t="shared" si="339"/>
        <v>0</v>
      </c>
      <c r="I531" s="77">
        <f t="shared" si="339"/>
        <v>0</v>
      </c>
      <c r="J531" s="77">
        <f t="shared" ref="J531:M531" si="341">J537+J555</f>
        <v>0</v>
      </c>
      <c r="K531" s="77">
        <f t="shared" si="341"/>
        <v>0</v>
      </c>
      <c r="L531" s="69">
        <f t="shared" si="341"/>
        <v>0</v>
      </c>
      <c r="M531" s="69">
        <f t="shared" si="341"/>
        <v>0</v>
      </c>
      <c r="N531" s="54"/>
      <c r="O531" s="43"/>
    </row>
    <row r="532" spans="1:15" s="38" customFormat="1" ht="12" x14ac:dyDescent="0.2">
      <c r="A532" s="43">
        <v>380</v>
      </c>
      <c r="B532" s="61" t="s">
        <v>11</v>
      </c>
      <c r="C532" s="69">
        <f>SUM(D532:M532)</f>
        <v>82545484.219999999</v>
      </c>
      <c r="D532" s="61">
        <f>D538+D556</f>
        <v>7816954.1299999999</v>
      </c>
      <c r="E532" s="61">
        <f t="shared" si="339"/>
        <v>7540589.29</v>
      </c>
      <c r="F532" s="61">
        <f t="shared" si="339"/>
        <v>8281860.8399999999</v>
      </c>
      <c r="G532" s="126">
        <f t="shared" si="339"/>
        <v>8786946.8200000003</v>
      </c>
      <c r="H532" s="126">
        <f t="shared" si="339"/>
        <v>8558649.2599999998</v>
      </c>
      <c r="I532" s="162">
        <f t="shared" si="339"/>
        <v>8501870.0199999996</v>
      </c>
      <c r="J532" s="162">
        <f t="shared" ref="J532:M532" si="342">J538+J556</f>
        <v>8650318.0700000003</v>
      </c>
      <c r="K532" s="162">
        <f t="shared" si="342"/>
        <v>8933383.7899999991</v>
      </c>
      <c r="L532" s="61">
        <f t="shared" si="342"/>
        <v>7737456</v>
      </c>
      <c r="M532" s="61">
        <f t="shared" si="342"/>
        <v>7737456</v>
      </c>
      <c r="N532" s="54"/>
      <c r="O532" s="43"/>
    </row>
    <row r="533" spans="1:15" s="38" customFormat="1" ht="12" x14ac:dyDescent="0.2">
      <c r="A533" s="43">
        <v>381</v>
      </c>
      <c r="B533" s="61" t="s">
        <v>12</v>
      </c>
      <c r="C533" s="69">
        <f>SUM(D533:M533)</f>
        <v>0</v>
      </c>
      <c r="D533" s="61">
        <f>D539+D557</f>
        <v>0</v>
      </c>
      <c r="E533" s="61">
        <f t="shared" si="339"/>
        <v>0</v>
      </c>
      <c r="F533" s="61">
        <f t="shared" si="339"/>
        <v>0</v>
      </c>
      <c r="G533" s="126">
        <f t="shared" si="339"/>
        <v>0</v>
      </c>
      <c r="H533" s="126">
        <f t="shared" si="339"/>
        <v>0</v>
      </c>
      <c r="I533" s="162">
        <f t="shared" si="339"/>
        <v>0</v>
      </c>
      <c r="J533" s="162">
        <f t="shared" ref="J533:M533" si="343">J539+J557</f>
        <v>0</v>
      </c>
      <c r="K533" s="162">
        <f t="shared" si="343"/>
        <v>0</v>
      </c>
      <c r="L533" s="61">
        <f t="shared" si="343"/>
        <v>0</v>
      </c>
      <c r="M533" s="61">
        <f t="shared" si="343"/>
        <v>0</v>
      </c>
      <c r="N533" s="54"/>
      <c r="O533" s="43"/>
    </row>
    <row r="534" spans="1:15" s="38" customFormat="1" ht="12" x14ac:dyDescent="0.2">
      <c r="A534" s="43">
        <v>382</v>
      </c>
      <c r="B534" s="215" t="s">
        <v>60</v>
      </c>
      <c r="C534" s="216"/>
      <c r="D534" s="216"/>
      <c r="E534" s="216"/>
      <c r="F534" s="216"/>
      <c r="G534" s="216"/>
      <c r="H534" s="216"/>
      <c r="I534" s="216"/>
      <c r="J534" s="216"/>
      <c r="K534" s="216"/>
      <c r="L534" s="216"/>
      <c r="M534" s="216"/>
      <c r="N534" s="217"/>
      <c r="O534" s="43"/>
    </row>
    <row r="535" spans="1:15" s="38" customFormat="1" ht="36" x14ac:dyDescent="0.2">
      <c r="A535" s="43">
        <v>383</v>
      </c>
      <c r="B535" s="133" t="s">
        <v>62</v>
      </c>
      <c r="C535" s="137">
        <f>SUM(D535:M535)</f>
        <v>0</v>
      </c>
      <c r="D535" s="120">
        <f t="shared" ref="D535:M535" si="344">SUM(D537:D539)</f>
        <v>0</v>
      </c>
      <c r="E535" s="120">
        <f t="shared" si="344"/>
        <v>0</v>
      </c>
      <c r="F535" s="120">
        <f t="shared" si="344"/>
        <v>0</v>
      </c>
      <c r="G535" s="120">
        <f t="shared" si="344"/>
        <v>0</v>
      </c>
      <c r="H535" s="120">
        <f t="shared" si="344"/>
        <v>0</v>
      </c>
      <c r="I535" s="155">
        <f t="shared" si="344"/>
        <v>0</v>
      </c>
      <c r="J535" s="155">
        <f t="shared" si="344"/>
        <v>0</v>
      </c>
      <c r="K535" s="155">
        <f t="shared" si="344"/>
        <v>0</v>
      </c>
      <c r="L535" s="120">
        <f t="shared" si="344"/>
        <v>0</v>
      </c>
      <c r="M535" s="120">
        <f t="shared" si="344"/>
        <v>0</v>
      </c>
      <c r="N535" s="134"/>
      <c r="O535" s="43"/>
    </row>
    <row r="536" spans="1:15" s="38" customFormat="1" ht="12" x14ac:dyDescent="0.2">
      <c r="A536" s="43">
        <v>384</v>
      </c>
      <c r="B536" s="126" t="s">
        <v>59</v>
      </c>
      <c r="C536" s="85">
        <f>SUM(D536:M536)</f>
        <v>0</v>
      </c>
      <c r="D536" s="85">
        <f>D542+D548</f>
        <v>0</v>
      </c>
      <c r="E536" s="85">
        <f t="shared" ref="E536:I536" si="345">E542+E548</f>
        <v>0</v>
      </c>
      <c r="F536" s="85">
        <f t="shared" si="345"/>
        <v>0</v>
      </c>
      <c r="G536" s="85">
        <f t="shared" si="345"/>
        <v>0</v>
      </c>
      <c r="H536" s="85">
        <f t="shared" si="345"/>
        <v>0</v>
      </c>
      <c r="I536" s="77">
        <f t="shared" si="345"/>
        <v>0</v>
      </c>
      <c r="J536" s="77">
        <f>J542+J548</f>
        <v>0</v>
      </c>
      <c r="K536" s="77">
        <f t="shared" ref="K536:M536" si="346">K542+K548</f>
        <v>0</v>
      </c>
      <c r="L536" s="85">
        <f t="shared" si="346"/>
        <v>0</v>
      </c>
      <c r="M536" s="85">
        <f t="shared" si="346"/>
        <v>0</v>
      </c>
      <c r="N536" s="134"/>
      <c r="O536" s="43"/>
    </row>
    <row r="537" spans="1:15" s="38" customFormat="1" ht="12" x14ac:dyDescent="0.2">
      <c r="A537" s="43">
        <v>385</v>
      </c>
      <c r="B537" s="135" t="s">
        <v>10</v>
      </c>
      <c r="C537" s="85">
        <f>SUM(D537:M537)</f>
        <v>0</v>
      </c>
      <c r="D537" s="85">
        <f t="shared" ref="D537:I539" si="347">D543+D549</f>
        <v>0</v>
      </c>
      <c r="E537" s="85">
        <f t="shared" si="347"/>
        <v>0</v>
      </c>
      <c r="F537" s="85">
        <f t="shared" si="347"/>
        <v>0</v>
      </c>
      <c r="G537" s="85">
        <f t="shared" si="347"/>
        <v>0</v>
      </c>
      <c r="H537" s="85">
        <f t="shared" si="347"/>
        <v>0</v>
      </c>
      <c r="I537" s="77">
        <f t="shared" si="347"/>
        <v>0</v>
      </c>
      <c r="J537" s="77">
        <f t="shared" ref="J537:M537" si="348">J543+J549</f>
        <v>0</v>
      </c>
      <c r="K537" s="77">
        <f t="shared" si="348"/>
        <v>0</v>
      </c>
      <c r="L537" s="85">
        <f t="shared" si="348"/>
        <v>0</v>
      </c>
      <c r="M537" s="85">
        <f t="shared" si="348"/>
        <v>0</v>
      </c>
      <c r="N537" s="134"/>
      <c r="O537" s="43"/>
    </row>
    <row r="538" spans="1:15" s="38" customFormat="1" ht="12" x14ac:dyDescent="0.2">
      <c r="A538" s="43">
        <v>386</v>
      </c>
      <c r="B538" s="135" t="s">
        <v>11</v>
      </c>
      <c r="C538" s="85">
        <f>SUM(D538:M538)</f>
        <v>0</v>
      </c>
      <c r="D538" s="85">
        <f t="shared" si="347"/>
        <v>0</v>
      </c>
      <c r="E538" s="85">
        <f t="shared" si="347"/>
        <v>0</v>
      </c>
      <c r="F538" s="85">
        <f t="shared" si="347"/>
        <v>0</v>
      </c>
      <c r="G538" s="85">
        <f t="shared" si="347"/>
        <v>0</v>
      </c>
      <c r="H538" s="85">
        <f t="shared" si="347"/>
        <v>0</v>
      </c>
      <c r="I538" s="77">
        <f t="shared" si="347"/>
        <v>0</v>
      </c>
      <c r="J538" s="77">
        <f t="shared" ref="J538:M538" si="349">J544+J550</f>
        <v>0</v>
      </c>
      <c r="K538" s="77">
        <f t="shared" si="349"/>
        <v>0</v>
      </c>
      <c r="L538" s="85">
        <f t="shared" si="349"/>
        <v>0</v>
      </c>
      <c r="M538" s="85">
        <f t="shared" si="349"/>
        <v>0</v>
      </c>
      <c r="N538" s="134"/>
      <c r="O538" s="43"/>
    </row>
    <row r="539" spans="1:15" s="38" customFormat="1" ht="12" x14ac:dyDescent="0.2">
      <c r="A539" s="43">
        <v>387</v>
      </c>
      <c r="B539" s="135" t="s">
        <v>12</v>
      </c>
      <c r="C539" s="85">
        <f>SUM(D539:M539)</f>
        <v>0</v>
      </c>
      <c r="D539" s="85">
        <f t="shared" si="347"/>
        <v>0</v>
      </c>
      <c r="E539" s="85">
        <f t="shared" si="347"/>
        <v>0</v>
      </c>
      <c r="F539" s="85">
        <f t="shared" si="347"/>
        <v>0</v>
      </c>
      <c r="G539" s="85">
        <f t="shared" si="347"/>
        <v>0</v>
      </c>
      <c r="H539" s="85">
        <f t="shared" si="347"/>
        <v>0</v>
      </c>
      <c r="I539" s="77">
        <f>I545+I551</f>
        <v>0</v>
      </c>
      <c r="J539" s="77">
        <f t="shared" ref="J539:M539" si="350">J545+J551</f>
        <v>0</v>
      </c>
      <c r="K539" s="77">
        <f t="shared" si="350"/>
        <v>0</v>
      </c>
      <c r="L539" s="85">
        <f t="shared" si="350"/>
        <v>0</v>
      </c>
      <c r="M539" s="85">
        <f t="shared" si="350"/>
        <v>0</v>
      </c>
      <c r="N539" s="134"/>
      <c r="O539" s="43"/>
    </row>
    <row r="540" spans="1:15" s="38" customFormat="1" ht="12" x14ac:dyDescent="0.2">
      <c r="A540" s="43">
        <v>388</v>
      </c>
      <c r="B540" s="239" t="s">
        <v>145</v>
      </c>
      <c r="C540" s="236"/>
      <c r="D540" s="236"/>
      <c r="E540" s="236"/>
      <c r="F540" s="236"/>
      <c r="G540" s="236"/>
      <c r="H540" s="236"/>
      <c r="I540" s="236"/>
      <c r="J540" s="236"/>
      <c r="K540" s="236"/>
      <c r="L540" s="236"/>
      <c r="M540" s="236"/>
      <c r="N540" s="237"/>
      <c r="O540" s="43"/>
    </row>
    <row r="541" spans="1:15" s="38" customFormat="1" ht="36" x14ac:dyDescent="0.2">
      <c r="A541" s="43">
        <v>389</v>
      </c>
      <c r="B541" s="136" t="s">
        <v>146</v>
      </c>
      <c r="C541" s="85">
        <f>SUM(D541:M541)</f>
        <v>0</v>
      </c>
      <c r="D541" s="120">
        <f>SUM(D542:D545)</f>
        <v>0</v>
      </c>
      <c r="E541" s="120">
        <f t="shared" ref="E541:M541" si="351">SUM(E542:E545)</f>
        <v>0</v>
      </c>
      <c r="F541" s="120">
        <f t="shared" si="351"/>
        <v>0</v>
      </c>
      <c r="G541" s="120">
        <f t="shared" si="351"/>
        <v>0</v>
      </c>
      <c r="H541" s="120">
        <f t="shared" si="351"/>
        <v>0</v>
      </c>
      <c r="I541" s="155">
        <f t="shared" si="351"/>
        <v>0</v>
      </c>
      <c r="J541" s="155">
        <f>SUM(J542:J545)</f>
        <v>0</v>
      </c>
      <c r="K541" s="155">
        <f t="shared" si="351"/>
        <v>0</v>
      </c>
      <c r="L541" s="120">
        <f t="shared" si="351"/>
        <v>0</v>
      </c>
      <c r="M541" s="120">
        <f t="shared" si="351"/>
        <v>0</v>
      </c>
      <c r="N541" s="134"/>
      <c r="O541" s="43"/>
    </row>
    <row r="542" spans="1:15" s="38" customFormat="1" ht="12" x14ac:dyDescent="0.2">
      <c r="A542" s="43">
        <v>390</v>
      </c>
      <c r="B542" s="136" t="s">
        <v>59</v>
      </c>
      <c r="C542" s="85">
        <f>SUM(D542:M542)</f>
        <v>0</v>
      </c>
      <c r="D542" s="85">
        <v>0</v>
      </c>
      <c r="E542" s="85">
        <v>0</v>
      </c>
      <c r="F542" s="85">
        <v>0</v>
      </c>
      <c r="G542" s="85">
        <v>0</v>
      </c>
      <c r="H542" s="85">
        <v>0</v>
      </c>
      <c r="I542" s="77">
        <v>0</v>
      </c>
      <c r="J542" s="77">
        <v>0</v>
      </c>
      <c r="K542" s="77">
        <v>0</v>
      </c>
      <c r="L542" s="85">
        <v>0</v>
      </c>
      <c r="M542" s="85">
        <v>0</v>
      </c>
      <c r="N542" s="134"/>
      <c r="O542" s="43"/>
    </row>
    <row r="543" spans="1:15" s="38" customFormat="1" ht="12" x14ac:dyDescent="0.2">
      <c r="A543" s="43">
        <v>391</v>
      </c>
      <c r="B543" s="136" t="s">
        <v>10</v>
      </c>
      <c r="C543" s="85">
        <f>SUM(D543:M543)</f>
        <v>0</v>
      </c>
      <c r="D543" s="85">
        <v>0</v>
      </c>
      <c r="E543" s="85">
        <v>0</v>
      </c>
      <c r="F543" s="85">
        <v>0</v>
      </c>
      <c r="G543" s="85">
        <v>0</v>
      </c>
      <c r="H543" s="85">
        <v>0</v>
      </c>
      <c r="I543" s="77">
        <v>0</v>
      </c>
      <c r="J543" s="77">
        <v>0</v>
      </c>
      <c r="K543" s="77">
        <v>0</v>
      </c>
      <c r="L543" s="85">
        <v>0</v>
      </c>
      <c r="M543" s="85">
        <v>0</v>
      </c>
      <c r="N543" s="134"/>
      <c r="O543" s="43"/>
    </row>
    <row r="544" spans="1:15" s="38" customFormat="1" ht="12" x14ac:dyDescent="0.2">
      <c r="A544" s="43">
        <v>392</v>
      </c>
      <c r="B544" s="136" t="s">
        <v>11</v>
      </c>
      <c r="C544" s="85">
        <f>SUM(D544:M544)</f>
        <v>0</v>
      </c>
      <c r="D544" s="85">
        <v>0</v>
      </c>
      <c r="E544" s="85">
        <v>0</v>
      </c>
      <c r="F544" s="85">
        <v>0</v>
      </c>
      <c r="G544" s="85">
        <v>0</v>
      </c>
      <c r="H544" s="85">
        <v>0</v>
      </c>
      <c r="I544" s="77">
        <v>0</v>
      </c>
      <c r="J544" s="77">
        <v>0</v>
      </c>
      <c r="K544" s="77">
        <v>0</v>
      </c>
      <c r="L544" s="85">
        <v>0</v>
      </c>
      <c r="M544" s="85">
        <v>0</v>
      </c>
      <c r="N544" s="134"/>
      <c r="O544" s="43"/>
    </row>
    <row r="545" spans="1:15" s="38" customFormat="1" ht="12" x14ac:dyDescent="0.2">
      <c r="A545" s="43">
        <v>393</v>
      </c>
      <c r="B545" s="136" t="s">
        <v>12</v>
      </c>
      <c r="C545" s="85">
        <f>SUM(D545:M545)</f>
        <v>0</v>
      </c>
      <c r="D545" s="85">
        <v>0</v>
      </c>
      <c r="E545" s="85">
        <v>0</v>
      </c>
      <c r="F545" s="85">
        <v>0</v>
      </c>
      <c r="G545" s="85">
        <v>0</v>
      </c>
      <c r="H545" s="85">
        <v>0</v>
      </c>
      <c r="I545" s="77">
        <v>0</v>
      </c>
      <c r="J545" s="77">
        <v>0</v>
      </c>
      <c r="K545" s="77">
        <v>0</v>
      </c>
      <c r="L545" s="85">
        <v>0</v>
      </c>
      <c r="M545" s="85">
        <v>0</v>
      </c>
      <c r="N545" s="134"/>
      <c r="O545" s="43"/>
    </row>
    <row r="546" spans="1:15" s="38" customFormat="1" ht="12" x14ac:dyDescent="0.2">
      <c r="A546" s="43">
        <v>394</v>
      </c>
      <c r="B546" s="240" t="s">
        <v>151</v>
      </c>
      <c r="C546" s="241"/>
      <c r="D546" s="241"/>
      <c r="E546" s="241"/>
      <c r="F546" s="241"/>
      <c r="G546" s="241"/>
      <c r="H546" s="241"/>
      <c r="I546" s="241"/>
      <c r="J546" s="241"/>
      <c r="K546" s="241"/>
      <c r="L546" s="241"/>
      <c r="M546" s="241"/>
      <c r="N546" s="242"/>
      <c r="O546" s="43"/>
    </row>
    <row r="547" spans="1:15" s="38" customFormat="1" ht="24" x14ac:dyDescent="0.2">
      <c r="A547" s="43">
        <v>395</v>
      </c>
      <c r="B547" s="136" t="s">
        <v>152</v>
      </c>
      <c r="C547" s="85">
        <f>SUM(D547:M547)</f>
        <v>0</v>
      </c>
      <c r="D547" s="120">
        <f>SUM(D548:D551)</f>
        <v>0</v>
      </c>
      <c r="E547" s="120">
        <f t="shared" ref="E547:I547" si="352">SUM(E548:E551)</f>
        <v>0</v>
      </c>
      <c r="F547" s="120">
        <f t="shared" si="352"/>
        <v>0</v>
      </c>
      <c r="G547" s="120">
        <f t="shared" si="352"/>
        <v>0</v>
      </c>
      <c r="H547" s="120">
        <f t="shared" si="352"/>
        <v>0</v>
      </c>
      <c r="I547" s="155">
        <f t="shared" si="352"/>
        <v>0</v>
      </c>
      <c r="J547" s="155">
        <f>SUM(J548:J551)</f>
        <v>0</v>
      </c>
      <c r="K547" s="155">
        <f t="shared" ref="K547:M547" si="353">SUM(K548:K551)</f>
        <v>0</v>
      </c>
      <c r="L547" s="120">
        <f t="shared" si="353"/>
        <v>0</v>
      </c>
      <c r="M547" s="120">
        <f t="shared" si="353"/>
        <v>0</v>
      </c>
      <c r="N547" s="134"/>
      <c r="O547" s="43"/>
    </row>
    <row r="548" spans="1:15" s="38" customFormat="1" ht="12" x14ac:dyDescent="0.2">
      <c r="A548" s="43">
        <v>396</v>
      </c>
      <c r="B548" s="136" t="s">
        <v>59</v>
      </c>
      <c r="C548" s="85">
        <f>SUM(D548:M548)</f>
        <v>0</v>
      </c>
      <c r="D548" s="85">
        <v>0</v>
      </c>
      <c r="E548" s="85">
        <v>0</v>
      </c>
      <c r="F548" s="85">
        <v>0</v>
      </c>
      <c r="G548" s="85">
        <v>0</v>
      </c>
      <c r="H548" s="85">
        <v>0</v>
      </c>
      <c r="I548" s="77">
        <v>0</v>
      </c>
      <c r="J548" s="77">
        <v>0</v>
      </c>
      <c r="K548" s="77">
        <v>0</v>
      </c>
      <c r="L548" s="85">
        <v>0</v>
      </c>
      <c r="M548" s="85">
        <v>0</v>
      </c>
      <c r="N548" s="134"/>
      <c r="O548" s="43"/>
    </row>
    <row r="549" spans="1:15" s="38" customFormat="1" ht="12" x14ac:dyDescent="0.2">
      <c r="A549" s="43">
        <v>397</v>
      </c>
      <c r="B549" s="136" t="s">
        <v>10</v>
      </c>
      <c r="C549" s="85">
        <f>SUM(D549:M549)</f>
        <v>0</v>
      </c>
      <c r="D549" s="85">
        <v>0</v>
      </c>
      <c r="E549" s="85">
        <v>0</v>
      </c>
      <c r="F549" s="85">
        <v>0</v>
      </c>
      <c r="G549" s="85">
        <v>0</v>
      </c>
      <c r="H549" s="85">
        <v>0</v>
      </c>
      <c r="I549" s="77">
        <v>0</v>
      </c>
      <c r="J549" s="77">
        <v>0</v>
      </c>
      <c r="K549" s="77">
        <v>0</v>
      </c>
      <c r="L549" s="85">
        <v>0</v>
      </c>
      <c r="M549" s="85">
        <v>0</v>
      </c>
      <c r="N549" s="134"/>
      <c r="O549" s="43"/>
    </row>
    <row r="550" spans="1:15" s="38" customFormat="1" ht="12" x14ac:dyDescent="0.2">
      <c r="A550" s="43">
        <v>398</v>
      </c>
      <c r="B550" s="136" t="s">
        <v>11</v>
      </c>
      <c r="C550" s="85">
        <f>SUM(D550:M550)</f>
        <v>0</v>
      </c>
      <c r="D550" s="85">
        <v>0</v>
      </c>
      <c r="E550" s="85">
        <v>0</v>
      </c>
      <c r="F550" s="85">
        <v>0</v>
      </c>
      <c r="G550" s="85">
        <v>0</v>
      </c>
      <c r="H550" s="85">
        <v>0</v>
      </c>
      <c r="I550" s="77">
        <v>0</v>
      </c>
      <c r="J550" s="77">
        <v>0</v>
      </c>
      <c r="K550" s="77">
        <v>0</v>
      </c>
      <c r="L550" s="85">
        <v>0</v>
      </c>
      <c r="M550" s="85">
        <v>0</v>
      </c>
      <c r="N550" s="134"/>
      <c r="O550" s="43"/>
    </row>
    <row r="551" spans="1:15" s="38" customFormat="1" ht="12" x14ac:dyDescent="0.2">
      <c r="A551" s="43">
        <v>399</v>
      </c>
      <c r="B551" s="136" t="s">
        <v>12</v>
      </c>
      <c r="C551" s="85">
        <f>SUM(D551:M551)</f>
        <v>0</v>
      </c>
      <c r="D551" s="85">
        <v>0</v>
      </c>
      <c r="E551" s="85">
        <v>0</v>
      </c>
      <c r="F551" s="85">
        <v>0</v>
      </c>
      <c r="G551" s="85">
        <v>0</v>
      </c>
      <c r="H551" s="85">
        <v>0</v>
      </c>
      <c r="I551" s="77">
        <v>0</v>
      </c>
      <c r="J551" s="77">
        <v>0</v>
      </c>
      <c r="K551" s="77">
        <v>0</v>
      </c>
      <c r="L551" s="85">
        <v>0</v>
      </c>
      <c r="M551" s="85">
        <v>0</v>
      </c>
      <c r="N551" s="134"/>
      <c r="O551" s="43"/>
    </row>
    <row r="552" spans="1:15" s="38" customFormat="1" ht="12" x14ac:dyDescent="0.2">
      <c r="A552" s="43">
        <v>400</v>
      </c>
      <c r="B552" s="215" t="s">
        <v>61</v>
      </c>
      <c r="C552" s="216"/>
      <c r="D552" s="216"/>
      <c r="E552" s="216"/>
      <c r="F552" s="216"/>
      <c r="G552" s="216"/>
      <c r="H552" s="216"/>
      <c r="I552" s="216"/>
      <c r="J552" s="216"/>
      <c r="K552" s="216"/>
      <c r="L552" s="216"/>
      <c r="M552" s="216"/>
      <c r="N552" s="217"/>
      <c r="O552" s="43"/>
    </row>
    <row r="553" spans="1:15" s="38" customFormat="1" ht="24" x14ac:dyDescent="0.2">
      <c r="A553" s="43">
        <v>401</v>
      </c>
      <c r="B553" s="82" t="s">
        <v>71</v>
      </c>
      <c r="C553" s="132">
        <f t="shared" ref="C553:C566" si="354">SUM(D553:M553)</f>
        <v>82549984.219999999</v>
      </c>
      <c r="D553" s="68">
        <f t="shared" ref="D553:M553" si="355">SUM(D555:D557)</f>
        <v>7816954.1299999999</v>
      </c>
      <c r="E553" s="68">
        <f t="shared" si="355"/>
        <v>7540589.29</v>
      </c>
      <c r="F553" s="68">
        <f t="shared" si="355"/>
        <v>8281860.8399999999</v>
      </c>
      <c r="G553" s="120">
        <f t="shared" si="355"/>
        <v>8791446.8200000003</v>
      </c>
      <c r="H553" s="120">
        <f t="shared" si="355"/>
        <v>8558649.2599999998</v>
      </c>
      <c r="I553" s="155">
        <f t="shared" si="355"/>
        <v>8501870.0199999996</v>
      </c>
      <c r="J553" s="155">
        <f t="shared" si="355"/>
        <v>8650318.0700000003</v>
      </c>
      <c r="K553" s="155">
        <f t="shared" si="355"/>
        <v>8933383.7899999991</v>
      </c>
      <c r="L553" s="68">
        <f t="shared" si="355"/>
        <v>7737456</v>
      </c>
      <c r="M553" s="68">
        <f t="shared" si="355"/>
        <v>7737456</v>
      </c>
      <c r="N553" s="54"/>
      <c r="O553" s="43"/>
    </row>
    <row r="554" spans="1:15" s="38" customFormat="1" ht="12" x14ac:dyDescent="0.2">
      <c r="A554" s="43">
        <v>402</v>
      </c>
      <c r="B554" s="61" t="s">
        <v>59</v>
      </c>
      <c r="C554" s="69">
        <f t="shared" si="354"/>
        <v>0</v>
      </c>
      <c r="D554" s="69">
        <f>D559+D564</f>
        <v>0</v>
      </c>
      <c r="E554" s="69">
        <f t="shared" ref="E554:M555" si="356">E559+E564</f>
        <v>0</v>
      </c>
      <c r="F554" s="69">
        <f t="shared" si="356"/>
        <v>0</v>
      </c>
      <c r="G554" s="85">
        <f t="shared" si="356"/>
        <v>0</v>
      </c>
      <c r="H554" s="85">
        <f t="shared" si="356"/>
        <v>0</v>
      </c>
      <c r="I554" s="77">
        <f t="shared" si="356"/>
        <v>0</v>
      </c>
      <c r="J554" s="77">
        <f>J559+J564</f>
        <v>0</v>
      </c>
      <c r="K554" s="77">
        <f t="shared" si="356"/>
        <v>0</v>
      </c>
      <c r="L554" s="69">
        <f t="shared" si="356"/>
        <v>0</v>
      </c>
      <c r="M554" s="85">
        <f t="shared" si="356"/>
        <v>0</v>
      </c>
      <c r="N554" s="54"/>
      <c r="O554" s="43"/>
    </row>
    <row r="555" spans="1:15" s="38" customFormat="1" ht="12" x14ac:dyDescent="0.2">
      <c r="A555" s="43">
        <v>403</v>
      </c>
      <c r="B555" s="83" t="s">
        <v>10</v>
      </c>
      <c r="C555" s="69">
        <f t="shared" si="354"/>
        <v>4500</v>
      </c>
      <c r="D555" s="69">
        <f t="shared" ref="D555:M557" si="357">D560+D565</f>
        <v>0</v>
      </c>
      <c r="E555" s="69">
        <f t="shared" si="357"/>
        <v>0</v>
      </c>
      <c r="F555" s="69">
        <f t="shared" si="357"/>
        <v>0</v>
      </c>
      <c r="G555" s="85">
        <f t="shared" si="357"/>
        <v>4500</v>
      </c>
      <c r="H555" s="85">
        <f t="shared" si="357"/>
        <v>0</v>
      </c>
      <c r="I555" s="77">
        <f t="shared" si="357"/>
        <v>0</v>
      </c>
      <c r="J555" s="77">
        <f>J560+J565</f>
        <v>0</v>
      </c>
      <c r="K555" s="77">
        <f t="shared" si="356"/>
        <v>0</v>
      </c>
      <c r="L555" s="69">
        <f t="shared" si="356"/>
        <v>0</v>
      </c>
      <c r="M555" s="85">
        <f t="shared" si="356"/>
        <v>0</v>
      </c>
      <c r="N555" s="54"/>
      <c r="O555" s="43"/>
    </row>
    <row r="556" spans="1:15" s="38" customFormat="1" ht="12" x14ac:dyDescent="0.2">
      <c r="A556" s="43">
        <v>404</v>
      </c>
      <c r="B556" s="83" t="s">
        <v>11</v>
      </c>
      <c r="C556" s="69">
        <f t="shared" si="354"/>
        <v>82545484.219999999</v>
      </c>
      <c r="D556" s="69">
        <f t="shared" si="357"/>
        <v>7816954.1299999999</v>
      </c>
      <c r="E556" s="69">
        <f t="shared" si="357"/>
        <v>7540589.29</v>
      </c>
      <c r="F556" s="69">
        <f t="shared" si="357"/>
        <v>8281860.8399999999</v>
      </c>
      <c r="G556" s="85">
        <f t="shared" si="357"/>
        <v>8786946.8200000003</v>
      </c>
      <c r="H556" s="85">
        <f t="shared" si="357"/>
        <v>8558649.2599999998</v>
      </c>
      <c r="I556" s="77">
        <f t="shared" si="357"/>
        <v>8501870.0199999996</v>
      </c>
      <c r="J556" s="77">
        <f t="shared" si="357"/>
        <v>8650318.0700000003</v>
      </c>
      <c r="K556" s="77">
        <f t="shared" si="357"/>
        <v>8933383.7899999991</v>
      </c>
      <c r="L556" s="69">
        <f t="shared" si="357"/>
        <v>7737456</v>
      </c>
      <c r="M556" s="69">
        <f t="shared" si="357"/>
        <v>7737456</v>
      </c>
      <c r="N556" s="54"/>
      <c r="O556" s="43"/>
    </row>
    <row r="557" spans="1:15" s="38" customFormat="1" ht="12" x14ac:dyDescent="0.2">
      <c r="A557" s="43">
        <v>405</v>
      </c>
      <c r="B557" s="83" t="s">
        <v>12</v>
      </c>
      <c r="C557" s="69">
        <f t="shared" si="354"/>
        <v>0</v>
      </c>
      <c r="D557" s="69">
        <f t="shared" si="357"/>
        <v>0</v>
      </c>
      <c r="E557" s="69">
        <f t="shared" si="357"/>
        <v>0</v>
      </c>
      <c r="F557" s="69">
        <f t="shared" si="357"/>
        <v>0</v>
      </c>
      <c r="G557" s="85">
        <f t="shared" si="357"/>
        <v>0</v>
      </c>
      <c r="H557" s="85">
        <f t="shared" si="357"/>
        <v>0</v>
      </c>
      <c r="I557" s="77">
        <f t="shared" si="357"/>
        <v>0</v>
      </c>
      <c r="J557" s="77">
        <f t="shared" si="357"/>
        <v>0</v>
      </c>
      <c r="K557" s="77">
        <f t="shared" si="357"/>
        <v>0</v>
      </c>
      <c r="L557" s="69">
        <f t="shared" si="357"/>
        <v>0</v>
      </c>
      <c r="M557" s="85">
        <f t="shared" si="357"/>
        <v>0</v>
      </c>
      <c r="N557" s="54"/>
      <c r="O557" s="43"/>
    </row>
    <row r="558" spans="1:15" s="38" customFormat="1" ht="60" x14ac:dyDescent="0.2">
      <c r="A558" s="43">
        <v>406</v>
      </c>
      <c r="B558" s="65" t="s">
        <v>216</v>
      </c>
      <c r="C558" s="132">
        <f t="shared" si="354"/>
        <v>13561741.960000001</v>
      </c>
      <c r="D558" s="73">
        <f t="shared" ref="D558:M558" si="358">SUM(D560:D562)</f>
        <v>1295986.29</v>
      </c>
      <c r="E558" s="73">
        <f t="shared" si="358"/>
        <v>1296178</v>
      </c>
      <c r="F558" s="73">
        <f t="shared" si="358"/>
        <v>1559802</v>
      </c>
      <c r="G558" s="122">
        <f t="shared" si="358"/>
        <v>1427832.67</v>
      </c>
      <c r="H558" s="122">
        <f t="shared" si="358"/>
        <v>1315936</v>
      </c>
      <c r="I558" s="156">
        <f t="shared" si="358"/>
        <v>1426881</v>
      </c>
      <c r="J558" s="156">
        <f t="shared" si="358"/>
        <v>1426881</v>
      </c>
      <c r="K558" s="156">
        <f t="shared" si="358"/>
        <v>1426881</v>
      </c>
      <c r="L558" s="73">
        <f t="shared" si="358"/>
        <v>1192682</v>
      </c>
      <c r="M558" s="73">
        <f t="shared" si="358"/>
        <v>1192682</v>
      </c>
      <c r="N558" s="54" t="s">
        <v>201</v>
      </c>
      <c r="O558" s="43" t="s">
        <v>149</v>
      </c>
    </row>
    <row r="559" spans="1:15" s="38" customFormat="1" ht="12" x14ac:dyDescent="0.2">
      <c r="A559" s="43">
        <v>407</v>
      </c>
      <c r="B559" s="61" t="s">
        <v>59</v>
      </c>
      <c r="C559" s="69">
        <f t="shared" si="354"/>
        <v>0</v>
      </c>
      <c r="D559" s="69">
        <v>0</v>
      </c>
      <c r="E559" s="69">
        <v>0</v>
      </c>
      <c r="F559" s="69">
        <v>0</v>
      </c>
      <c r="G559" s="85">
        <v>0</v>
      </c>
      <c r="H559" s="85">
        <v>0</v>
      </c>
      <c r="I559" s="77">
        <v>0</v>
      </c>
      <c r="J559" s="77"/>
      <c r="K559" s="77"/>
      <c r="L559" s="69"/>
      <c r="M559" s="69"/>
      <c r="N559" s="54"/>
      <c r="O559" s="43"/>
    </row>
    <row r="560" spans="1:15" s="38" customFormat="1" ht="12" x14ac:dyDescent="0.2">
      <c r="A560" s="43">
        <v>408</v>
      </c>
      <c r="B560" s="61" t="s">
        <v>10</v>
      </c>
      <c r="C560" s="69">
        <f t="shared" si="354"/>
        <v>4500</v>
      </c>
      <c r="D560" s="69">
        <v>0</v>
      </c>
      <c r="E560" s="69">
        <v>0</v>
      </c>
      <c r="F560" s="69">
        <v>0</v>
      </c>
      <c r="G560" s="85">
        <v>4500</v>
      </c>
      <c r="H560" s="85">
        <v>0</v>
      </c>
      <c r="I560" s="77">
        <v>0</v>
      </c>
      <c r="J560" s="77">
        <v>0</v>
      </c>
      <c r="K560" s="77">
        <v>0</v>
      </c>
      <c r="L560" s="69">
        <v>0</v>
      </c>
      <c r="M560" s="85">
        <v>0</v>
      </c>
      <c r="N560" s="54"/>
      <c r="O560" s="43"/>
    </row>
    <row r="561" spans="1:22" s="38" customFormat="1" ht="12" x14ac:dyDescent="0.2">
      <c r="A561" s="43">
        <v>409</v>
      </c>
      <c r="B561" s="61" t="s">
        <v>11</v>
      </c>
      <c r="C561" s="69">
        <f t="shared" si="354"/>
        <v>13557241.960000001</v>
      </c>
      <c r="D561" s="69">
        <f>1192682-74076.04+177380.33</f>
        <v>1295986.29</v>
      </c>
      <c r="E561" s="69">
        <f>1192682-64290.78+167786.78</f>
        <v>1296178</v>
      </c>
      <c r="F561" s="69">
        <f>1192682+161412.96+205707.04</f>
        <v>1559802</v>
      </c>
      <c r="G561" s="85">
        <f>1195984+99995-103297-783222+783222+230650.67</f>
        <v>1423332.67</v>
      </c>
      <c r="H561" s="85">
        <f>1195984+99995-103297-888222+888222-430096+553350</f>
        <v>1315936</v>
      </c>
      <c r="I561" s="77">
        <v>1426881</v>
      </c>
      <c r="J561" s="77">
        <v>1426881</v>
      </c>
      <c r="K561" s="77">
        <v>1426881</v>
      </c>
      <c r="L561" s="69">
        <f>1195984+99995-103297</f>
        <v>1192682</v>
      </c>
      <c r="M561" s="69">
        <f>1195984+99995-103297</f>
        <v>1192682</v>
      </c>
      <c r="N561" s="54"/>
      <c r="O561" s="43"/>
    </row>
    <row r="562" spans="1:22" s="38" customFormat="1" ht="12" x14ac:dyDescent="0.2">
      <c r="A562" s="43">
        <v>410</v>
      </c>
      <c r="B562" s="61" t="s">
        <v>12</v>
      </c>
      <c r="C562" s="69">
        <f t="shared" si="354"/>
        <v>0</v>
      </c>
      <c r="D562" s="69">
        <v>0</v>
      </c>
      <c r="E562" s="69">
        <v>0</v>
      </c>
      <c r="F562" s="69">
        <v>0</v>
      </c>
      <c r="G562" s="85">
        <v>0</v>
      </c>
      <c r="H562" s="85">
        <v>0</v>
      </c>
      <c r="I562" s="77">
        <v>0</v>
      </c>
      <c r="J562" s="77">
        <v>0</v>
      </c>
      <c r="K562" s="77">
        <v>0</v>
      </c>
      <c r="L562" s="69">
        <v>0</v>
      </c>
      <c r="M562" s="85">
        <v>0</v>
      </c>
      <c r="N562" s="54"/>
      <c r="O562" s="43"/>
    </row>
    <row r="563" spans="1:22" s="38" customFormat="1" ht="60" x14ac:dyDescent="0.2">
      <c r="A563" s="43">
        <v>411</v>
      </c>
      <c r="B563" s="65" t="s">
        <v>238</v>
      </c>
      <c r="C563" s="132">
        <f t="shared" si="354"/>
        <v>68988242.25999999</v>
      </c>
      <c r="D563" s="73">
        <f t="shared" ref="D563:M563" si="359">SUM(D565:D567)</f>
        <v>6520967.8399999999</v>
      </c>
      <c r="E563" s="73">
        <f t="shared" si="359"/>
        <v>6244411.29</v>
      </c>
      <c r="F563" s="73">
        <f t="shared" si="359"/>
        <v>6722058.8399999999</v>
      </c>
      <c r="G563" s="122">
        <f t="shared" si="359"/>
        <v>7363614.1500000004</v>
      </c>
      <c r="H563" s="122">
        <f t="shared" si="359"/>
        <v>7242713.2599999998</v>
      </c>
      <c r="I563" s="156">
        <f t="shared" si="359"/>
        <v>7074989.0199999996</v>
      </c>
      <c r="J563" s="156">
        <f t="shared" si="359"/>
        <v>7223437.0700000003</v>
      </c>
      <c r="K563" s="156">
        <f t="shared" si="359"/>
        <v>7506502.79</v>
      </c>
      <c r="L563" s="73">
        <f t="shared" si="359"/>
        <v>6544774</v>
      </c>
      <c r="M563" s="73">
        <f t="shared" si="359"/>
        <v>6544774</v>
      </c>
      <c r="N563" s="54" t="s">
        <v>203</v>
      </c>
      <c r="O563" s="43" t="s">
        <v>204</v>
      </c>
    </row>
    <row r="564" spans="1:22" s="38" customFormat="1" ht="12" x14ac:dyDescent="0.2">
      <c r="A564" s="43">
        <v>412</v>
      </c>
      <c r="B564" s="61" t="s">
        <v>59</v>
      </c>
      <c r="C564" s="69">
        <f t="shared" si="354"/>
        <v>0</v>
      </c>
      <c r="D564" s="69">
        <v>0</v>
      </c>
      <c r="E564" s="69">
        <v>0</v>
      </c>
      <c r="F564" s="69">
        <v>0</v>
      </c>
      <c r="G564" s="85">
        <v>0</v>
      </c>
      <c r="H564" s="85">
        <v>0</v>
      </c>
      <c r="I564" s="77">
        <v>0</v>
      </c>
      <c r="J564" s="77">
        <v>0</v>
      </c>
      <c r="K564" s="77">
        <v>0</v>
      </c>
      <c r="L564" s="69">
        <v>0</v>
      </c>
      <c r="M564" s="85">
        <v>0</v>
      </c>
      <c r="N564" s="54"/>
      <c r="O564" s="43"/>
    </row>
    <row r="565" spans="1:22" s="38" customFormat="1" ht="12" x14ac:dyDescent="0.2">
      <c r="A565" s="43">
        <v>413</v>
      </c>
      <c r="B565" s="61" t="s">
        <v>10</v>
      </c>
      <c r="C565" s="69">
        <f t="shared" si="354"/>
        <v>0</v>
      </c>
      <c r="D565" s="69">
        <v>0</v>
      </c>
      <c r="E565" s="69">
        <v>0</v>
      </c>
      <c r="F565" s="69">
        <v>0</v>
      </c>
      <c r="G565" s="85">
        <v>0</v>
      </c>
      <c r="H565" s="85">
        <v>0</v>
      </c>
      <c r="I565" s="77">
        <v>0</v>
      </c>
      <c r="J565" s="77">
        <v>0</v>
      </c>
      <c r="K565" s="77">
        <v>0</v>
      </c>
      <c r="L565" s="69">
        <v>0</v>
      </c>
      <c r="M565" s="85">
        <v>0</v>
      </c>
      <c r="N565" s="54"/>
      <c r="O565" s="43"/>
    </row>
    <row r="566" spans="1:22" s="38" customFormat="1" ht="12" x14ac:dyDescent="0.2">
      <c r="A566" s="43">
        <v>414</v>
      </c>
      <c r="B566" s="61" t="s">
        <v>11</v>
      </c>
      <c r="C566" s="69">
        <f t="shared" si="354"/>
        <v>68988242.25999999</v>
      </c>
      <c r="D566" s="69">
        <f>6770400+41859.84-291292</f>
        <v>6520967.8399999999</v>
      </c>
      <c r="E566" s="69">
        <f>6810581-298664+12694.29-200-280000</f>
        <v>6244411.29</v>
      </c>
      <c r="F566" s="69">
        <f>7151111-501605+72552.84</f>
        <v>6722058.8399999999</v>
      </c>
      <c r="G566" s="85">
        <f>7703452-99995-1209747-3704092+3815156+858840.15</f>
        <v>7363614.1500000004</v>
      </c>
      <c r="H566" s="85">
        <f>7703452-99995-1209747-4114092+4245156-2594540.74+3320100-7620</f>
        <v>7242713.2599999998</v>
      </c>
      <c r="I566" s="77">
        <v>7074989.0199999996</v>
      </c>
      <c r="J566" s="77">
        <v>7223437.0700000003</v>
      </c>
      <c r="K566" s="77">
        <v>7506502.79</v>
      </c>
      <c r="L566" s="69">
        <f>7703452-99995-1058683</f>
        <v>6544774</v>
      </c>
      <c r="M566" s="69">
        <f>7703452-99995-1058683</f>
        <v>6544774</v>
      </c>
      <c r="N566" s="54"/>
      <c r="O566" s="43"/>
    </row>
    <row r="567" spans="1:22" x14ac:dyDescent="0.25">
      <c r="A567" s="43">
        <v>403</v>
      </c>
      <c r="Q567" s="38"/>
      <c r="R567" s="38"/>
      <c r="S567" s="38"/>
      <c r="T567" s="38"/>
      <c r="U567" s="38"/>
      <c r="V567" s="38"/>
    </row>
    <row r="568" spans="1:22" x14ac:dyDescent="0.25">
      <c r="A568" s="43">
        <v>404</v>
      </c>
      <c r="Q568" s="38"/>
      <c r="R568" s="38"/>
      <c r="S568" s="38"/>
      <c r="T568" s="38"/>
      <c r="U568" s="38"/>
      <c r="V568" s="38"/>
    </row>
  </sheetData>
  <mergeCells count="40">
    <mergeCell ref="B552:N552"/>
    <mergeCell ref="B390:N390"/>
    <mergeCell ref="B396:N396"/>
    <mergeCell ref="B438:N438"/>
    <mergeCell ref="B444:N444"/>
    <mergeCell ref="B450:N450"/>
    <mergeCell ref="B456:N456"/>
    <mergeCell ref="B462:N462"/>
    <mergeCell ref="B528:N528"/>
    <mergeCell ref="B534:N534"/>
    <mergeCell ref="B540:N540"/>
    <mergeCell ref="B546:N546"/>
    <mergeCell ref="B384:N384"/>
    <mergeCell ref="B217:N217"/>
    <mergeCell ref="B223:N223"/>
    <mergeCell ref="B229:N229"/>
    <mergeCell ref="B235:N235"/>
    <mergeCell ref="B309:N309"/>
    <mergeCell ref="B315:N315"/>
    <mergeCell ref="B321:N321"/>
    <mergeCell ref="B327:N327"/>
    <mergeCell ref="B333:N333"/>
    <mergeCell ref="B372:N372"/>
    <mergeCell ref="B378:N378"/>
    <mergeCell ref="C7:M7"/>
    <mergeCell ref="B211:N211"/>
    <mergeCell ref="G1:O1"/>
    <mergeCell ref="G2:O2"/>
    <mergeCell ref="G4:O4"/>
    <mergeCell ref="G5:O5"/>
    <mergeCell ref="A6:O6"/>
    <mergeCell ref="A7:A8"/>
    <mergeCell ref="B7:B8"/>
    <mergeCell ref="N7:N8"/>
    <mergeCell ref="O7:O8"/>
    <mergeCell ref="B25:N25"/>
    <mergeCell ref="B31:N31"/>
    <mergeCell ref="B37:N37"/>
    <mergeCell ref="B53:N53"/>
    <mergeCell ref="B59:N59"/>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Приложение к отчету за 2021 г</vt:lpstr>
      <vt:lpstr>Изменения №15</vt:lpstr>
      <vt:lpstr>изм. 31</vt:lpstr>
      <vt:lpstr>Лист1</vt:lpstr>
      <vt:lpstr>'Приложение к отчету за 2021 г'!Заголовки_для_печати</vt:lpstr>
    </vt:vector>
  </TitlesOfParts>
  <Company>diakov.net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www.PHILka.RU</dc:creator>
  <cp:lastModifiedBy>Центр ФАО</cp:lastModifiedBy>
  <cp:lastPrinted>2022-01-27T11:47:24Z</cp:lastPrinted>
  <dcterms:created xsi:type="dcterms:W3CDTF">2014-08-11T06:32:39Z</dcterms:created>
  <dcterms:modified xsi:type="dcterms:W3CDTF">2022-01-27T12:08:00Z</dcterms:modified>
</cp:coreProperties>
</file>