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D:\User\Загрузки\"/>
    </mc:Choice>
  </mc:AlternateContent>
  <xr:revisionPtr revIDLastSave="0" documentId="13_ncr:1_{36A09F51-C777-4AE5-8795-E55A64A85329}" xr6:coauthVersionLast="47" xr6:coauthVersionMax="47" xr10:uidLastSave="{00000000-0000-0000-0000-000000000000}"/>
  <bookViews>
    <workbookView xWindow="2040" yWindow="1275" windowWidth="26160" windowHeight="13965" tabRatio="2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92" i="1" l="1"/>
  <c r="M286" i="1"/>
  <c r="M281" i="1"/>
  <c r="S296" i="1"/>
  <c r="R296" i="1"/>
  <c r="Q296" i="1"/>
  <c r="P296" i="1"/>
  <c r="O296" i="1"/>
  <c r="N296" i="1"/>
  <c r="C296" i="1" s="1"/>
  <c r="M296" i="1"/>
  <c r="L296" i="1"/>
  <c r="K296" i="1"/>
  <c r="J296" i="1"/>
  <c r="I296" i="1"/>
  <c r="H296" i="1"/>
  <c r="G296" i="1"/>
  <c r="F296" i="1"/>
  <c r="E296" i="1"/>
  <c r="D296" i="1"/>
  <c r="C297" i="1"/>
  <c r="M78" i="1"/>
  <c r="M79" i="1"/>
  <c r="M63" i="1"/>
  <c r="M123" i="1"/>
  <c r="N133" i="1"/>
  <c r="N132" i="1"/>
  <c r="N59" i="1"/>
  <c r="M282" i="1" l="1"/>
  <c r="N71" i="1"/>
  <c r="M131" i="1"/>
  <c r="C133" i="1"/>
  <c r="C132" i="1"/>
  <c r="S131" i="1"/>
  <c r="R131" i="1"/>
  <c r="Q131" i="1"/>
  <c r="P131" i="1"/>
  <c r="O131" i="1"/>
  <c r="N131" i="1"/>
  <c r="L131" i="1"/>
  <c r="K131" i="1"/>
  <c r="J131" i="1"/>
  <c r="I131" i="1"/>
  <c r="H131" i="1"/>
  <c r="G131" i="1"/>
  <c r="F131" i="1"/>
  <c r="E131" i="1"/>
  <c r="D131" i="1"/>
  <c r="N104" i="1"/>
  <c r="N204" i="1"/>
  <c r="Q294" i="1"/>
  <c r="P294" i="1"/>
  <c r="S286" i="1"/>
  <c r="R286" i="1"/>
  <c r="Q286" i="1"/>
  <c r="P286" i="1"/>
  <c r="O286" i="1"/>
  <c r="N286" i="1"/>
  <c r="N282" i="1" s="1"/>
  <c r="N79" i="1"/>
  <c r="N83" i="1"/>
  <c r="N82" i="1"/>
  <c r="N54" i="1" s="1"/>
  <c r="S59" i="1"/>
  <c r="R59" i="1"/>
  <c r="Q59" i="1"/>
  <c r="P59" i="1"/>
  <c r="O59" i="1"/>
  <c r="S63" i="1"/>
  <c r="R63" i="1"/>
  <c r="Q63" i="1"/>
  <c r="P63" i="1"/>
  <c r="O63" i="1"/>
  <c r="N63" i="1"/>
  <c r="S123" i="1"/>
  <c r="R123" i="1"/>
  <c r="Q123" i="1"/>
  <c r="P123" i="1"/>
  <c r="O123" i="1"/>
  <c r="N123" i="1"/>
  <c r="M108" i="1"/>
  <c r="M261" i="1"/>
  <c r="M71" i="1"/>
  <c r="C130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M111" i="1"/>
  <c r="M54" i="1" s="1"/>
  <c r="C128" i="1"/>
  <c r="L127" i="1"/>
  <c r="K127" i="1"/>
  <c r="J127" i="1"/>
  <c r="I127" i="1"/>
  <c r="H127" i="1"/>
  <c r="G127" i="1"/>
  <c r="F127" i="1"/>
  <c r="E127" i="1"/>
  <c r="D127" i="1"/>
  <c r="K125" i="1"/>
  <c r="J125" i="1"/>
  <c r="I125" i="1"/>
  <c r="H125" i="1"/>
  <c r="G125" i="1"/>
  <c r="F125" i="1"/>
  <c r="E125" i="1"/>
  <c r="D125" i="1"/>
  <c r="C126" i="1"/>
  <c r="S127" i="1"/>
  <c r="R127" i="1"/>
  <c r="Q127" i="1"/>
  <c r="P127" i="1"/>
  <c r="O127" i="1"/>
  <c r="N127" i="1"/>
  <c r="M127" i="1"/>
  <c r="S125" i="1"/>
  <c r="R125" i="1"/>
  <c r="Q125" i="1"/>
  <c r="P125" i="1"/>
  <c r="O125" i="1"/>
  <c r="N125" i="1"/>
  <c r="M125" i="1"/>
  <c r="L125" i="1"/>
  <c r="M121" i="1"/>
  <c r="M59" i="1"/>
  <c r="M101" i="1"/>
  <c r="M233" i="1"/>
  <c r="C129" i="1" l="1"/>
  <c r="N55" i="1"/>
  <c r="C131" i="1"/>
  <c r="C127" i="1"/>
  <c r="C125" i="1"/>
  <c r="I17" i="1"/>
  <c r="J17" i="1"/>
  <c r="K17" i="1"/>
  <c r="L17" i="1"/>
  <c r="M17" i="1"/>
  <c r="N17" i="1"/>
  <c r="O17" i="1"/>
  <c r="P17" i="1"/>
  <c r="Q17" i="1"/>
  <c r="R17" i="1"/>
  <c r="S17" i="1"/>
  <c r="D26" i="1"/>
  <c r="E26" i="1"/>
  <c r="F26" i="1"/>
  <c r="G26" i="1"/>
  <c r="I26" i="1"/>
  <c r="J26" i="1"/>
  <c r="K26" i="1"/>
  <c r="L26" i="1"/>
  <c r="M26" i="1"/>
  <c r="N26" i="1"/>
  <c r="O26" i="1"/>
  <c r="P26" i="1"/>
  <c r="Q26" i="1"/>
  <c r="R26" i="1"/>
  <c r="S26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C38" i="1"/>
  <c r="D38" i="1"/>
  <c r="E38" i="1"/>
  <c r="F38" i="1"/>
  <c r="G38" i="1"/>
  <c r="H38" i="1"/>
  <c r="I38" i="1"/>
  <c r="J38" i="1"/>
  <c r="J33" i="1" s="1"/>
  <c r="K38" i="1"/>
  <c r="L38" i="1"/>
  <c r="M38" i="1"/>
  <c r="M33" i="1" s="1"/>
  <c r="N38" i="1"/>
  <c r="N33" i="1" s="1"/>
  <c r="O38" i="1"/>
  <c r="P38" i="1"/>
  <c r="Q38" i="1"/>
  <c r="R38" i="1"/>
  <c r="S38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H53" i="1"/>
  <c r="H32" i="1" s="1"/>
  <c r="I53" i="1"/>
  <c r="J53" i="1"/>
  <c r="K53" i="1"/>
  <c r="L53" i="1"/>
  <c r="M53" i="1"/>
  <c r="N53" i="1"/>
  <c r="O53" i="1"/>
  <c r="P53" i="1"/>
  <c r="Q53" i="1"/>
  <c r="R53" i="1"/>
  <c r="S53" i="1"/>
  <c r="D54" i="1"/>
  <c r="E54" i="1"/>
  <c r="F54" i="1"/>
  <c r="J54" i="1"/>
  <c r="O54" i="1"/>
  <c r="P54" i="1"/>
  <c r="Q54" i="1"/>
  <c r="R54" i="1"/>
  <c r="S54" i="1"/>
  <c r="F56" i="1"/>
  <c r="I56" i="1"/>
  <c r="K56" i="1"/>
  <c r="L56" i="1"/>
  <c r="M56" i="1"/>
  <c r="M35" i="1" s="1"/>
  <c r="N56" i="1"/>
  <c r="N35" i="1" s="1"/>
  <c r="O56" i="1"/>
  <c r="O35" i="1" s="1"/>
  <c r="P56" i="1"/>
  <c r="P35" i="1" s="1"/>
  <c r="Q56" i="1"/>
  <c r="Q35" i="1" s="1"/>
  <c r="R56" i="1"/>
  <c r="R35" i="1" s="1"/>
  <c r="S56" i="1"/>
  <c r="D57" i="1"/>
  <c r="E57" i="1"/>
  <c r="F57" i="1"/>
  <c r="G57" i="1"/>
  <c r="M57" i="1"/>
  <c r="N57" i="1"/>
  <c r="O57" i="1"/>
  <c r="P57" i="1"/>
  <c r="Q57" i="1"/>
  <c r="R57" i="1"/>
  <c r="S57" i="1"/>
  <c r="C58" i="1"/>
  <c r="H59" i="1"/>
  <c r="I59" i="1"/>
  <c r="I57" i="1" s="1"/>
  <c r="J59" i="1"/>
  <c r="J57" i="1" s="1"/>
  <c r="K59" i="1"/>
  <c r="L59" i="1"/>
  <c r="L57" i="1" s="1"/>
  <c r="H60" i="1"/>
  <c r="C60" i="1" s="1"/>
  <c r="H61" i="1"/>
  <c r="P61" i="1"/>
  <c r="Q61" i="1"/>
  <c r="R61" i="1"/>
  <c r="S61" i="1"/>
  <c r="G62" i="1"/>
  <c r="G54" i="1" s="1"/>
  <c r="D63" i="1"/>
  <c r="E63" i="1"/>
  <c r="E55" i="1" s="1"/>
  <c r="F63" i="1"/>
  <c r="F61" i="1" s="1"/>
  <c r="G63" i="1"/>
  <c r="I63" i="1"/>
  <c r="I61" i="1" s="1"/>
  <c r="J63" i="1"/>
  <c r="J61" i="1" s="1"/>
  <c r="K63" i="1"/>
  <c r="K61" i="1" s="1"/>
  <c r="L63" i="1"/>
  <c r="L61" i="1" s="1"/>
  <c r="M61" i="1"/>
  <c r="N61" i="1"/>
  <c r="D64" i="1"/>
  <c r="E64" i="1" s="1"/>
  <c r="H65" i="1"/>
  <c r="I65" i="1"/>
  <c r="J65" i="1"/>
  <c r="K65" i="1"/>
  <c r="L65" i="1"/>
  <c r="M65" i="1"/>
  <c r="N65" i="1"/>
  <c r="O65" i="1"/>
  <c r="P65" i="1"/>
  <c r="Q65" i="1"/>
  <c r="R65" i="1"/>
  <c r="S65" i="1"/>
  <c r="C66" i="1"/>
  <c r="D67" i="1"/>
  <c r="F67" i="1"/>
  <c r="F65" i="1" s="1"/>
  <c r="G67" i="1"/>
  <c r="D68" i="1"/>
  <c r="D69" i="1"/>
  <c r="E69" i="1"/>
  <c r="F69" i="1"/>
  <c r="L69" i="1"/>
  <c r="M69" i="1"/>
  <c r="C70" i="1"/>
  <c r="H71" i="1"/>
  <c r="I71" i="1"/>
  <c r="I69" i="1" s="1"/>
  <c r="J71" i="1"/>
  <c r="K71" i="1"/>
  <c r="K69" i="1" s="1"/>
  <c r="N69" i="1"/>
  <c r="O71" i="1"/>
  <c r="P71" i="1"/>
  <c r="P55" i="1" s="1"/>
  <c r="P34" i="1" s="1"/>
  <c r="Q71" i="1"/>
  <c r="Q69" i="1" s="1"/>
  <c r="R71" i="1"/>
  <c r="R55" i="1" s="1"/>
  <c r="S71" i="1"/>
  <c r="S55" i="1" s="1"/>
  <c r="G72" i="1"/>
  <c r="H72" i="1"/>
  <c r="D73" i="1"/>
  <c r="E73" i="1"/>
  <c r="F73" i="1"/>
  <c r="G73" i="1"/>
  <c r="H73" i="1"/>
  <c r="I73" i="1"/>
  <c r="K73" i="1"/>
  <c r="L73" i="1"/>
  <c r="M73" i="1"/>
  <c r="N73" i="1"/>
  <c r="O73" i="1"/>
  <c r="P73" i="1"/>
  <c r="Q73" i="1"/>
  <c r="R73" i="1"/>
  <c r="S73" i="1"/>
  <c r="C74" i="1"/>
  <c r="C75" i="1"/>
  <c r="J76" i="1"/>
  <c r="J56" i="1" s="1"/>
  <c r="D77" i="1"/>
  <c r="E77" i="1"/>
  <c r="F77" i="1"/>
  <c r="I77" i="1"/>
  <c r="J77" i="1"/>
  <c r="K77" i="1"/>
  <c r="L77" i="1"/>
  <c r="M77" i="1"/>
  <c r="N77" i="1"/>
  <c r="O77" i="1"/>
  <c r="P77" i="1"/>
  <c r="Q77" i="1"/>
  <c r="R77" i="1"/>
  <c r="S77" i="1"/>
  <c r="H78" i="1"/>
  <c r="H79" i="1"/>
  <c r="C79" i="1" s="1"/>
  <c r="G80" i="1"/>
  <c r="G77" i="1" s="1"/>
  <c r="H80" i="1"/>
  <c r="D81" i="1"/>
  <c r="E81" i="1"/>
  <c r="G81" i="1"/>
  <c r="J81" i="1"/>
  <c r="L81" i="1"/>
  <c r="M81" i="1"/>
  <c r="N81" i="1"/>
  <c r="O81" i="1"/>
  <c r="P81" i="1"/>
  <c r="Q81" i="1"/>
  <c r="R81" i="1"/>
  <c r="S81" i="1"/>
  <c r="H82" i="1"/>
  <c r="I82" i="1"/>
  <c r="I54" i="1" s="1"/>
  <c r="I33" i="1" s="1"/>
  <c r="F83" i="1"/>
  <c r="F81" i="1" s="1"/>
  <c r="I83" i="1"/>
  <c r="K83" i="1"/>
  <c r="C84" i="1"/>
  <c r="D85" i="1"/>
  <c r="E85" i="1"/>
  <c r="F85" i="1"/>
  <c r="G85" i="1"/>
  <c r="I85" i="1"/>
  <c r="N85" i="1"/>
  <c r="O85" i="1"/>
  <c r="P85" i="1"/>
  <c r="Q85" i="1"/>
  <c r="R85" i="1"/>
  <c r="S85" i="1"/>
  <c r="C86" i="1"/>
  <c r="J87" i="1"/>
  <c r="J85" i="1" s="1"/>
  <c r="K87" i="1"/>
  <c r="K85" i="1" s="1"/>
  <c r="L87" i="1"/>
  <c r="L85" i="1"/>
  <c r="M87" i="1"/>
  <c r="M85" i="1" s="1"/>
  <c r="H88" i="1"/>
  <c r="C88" i="1" s="1"/>
  <c r="K89" i="1"/>
  <c r="C90" i="1"/>
  <c r="F91" i="1"/>
  <c r="F89" i="1" s="1"/>
  <c r="G91" i="1"/>
  <c r="G89" i="1" s="1"/>
  <c r="H91" i="1"/>
  <c r="H89" i="1"/>
  <c r="C92" i="1"/>
  <c r="D93" i="1"/>
  <c r="E93" i="1"/>
  <c r="F93" i="1"/>
  <c r="G93" i="1"/>
  <c r="H93" i="1"/>
  <c r="I93" i="1"/>
  <c r="J93" i="1"/>
  <c r="K93" i="1"/>
  <c r="N93" i="1"/>
  <c r="O93" i="1"/>
  <c r="P93" i="1"/>
  <c r="Q93" i="1"/>
  <c r="R93" i="1"/>
  <c r="S93" i="1"/>
  <c r="C94" i="1"/>
  <c r="L95" i="1"/>
  <c r="C95" i="1" s="1"/>
  <c r="L96" i="1"/>
  <c r="C96" i="1" s="1"/>
  <c r="M96" i="1"/>
  <c r="M93" i="1" s="1"/>
  <c r="C97" i="1"/>
  <c r="D98" i="1"/>
  <c r="E98" i="1"/>
  <c r="F98" i="1"/>
  <c r="G98" i="1"/>
  <c r="H98" i="1"/>
  <c r="I98" i="1"/>
  <c r="K98" i="1"/>
  <c r="L98" i="1"/>
  <c r="M98" i="1"/>
  <c r="N98" i="1"/>
  <c r="O98" i="1"/>
  <c r="P98" i="1"/>
  <c r="Q98" i="1"/>
  <c r="R98" i="1"/>
  <c r="S98" i="1"/>
  <c r="C99" i="1"/>
  <c r="C100" i="1"/>
  <c r="J101" i="1"/>
  <c r="J98" i="1" s="1"/>
  <c r="C102" i="1"/>
  <c r="D103" i="1"/>
  <c r="E103" i="1"/>
  <c r="F103" i="1"/>
  <c r="G103" i="1"/>
  <c r="J103" i="1"/>
  <c r="K103" i="1"/>
  <c r="L103" i="1"/>
  <c r="N103" i="1"/>
  <c r="O103" i="1"/>
  <c r="P103" i="1"/>
  <c r="Q103" i="1"/>
  <c r="R103" i="1"/>
  <c r="S103" i="1"/>
  <c r="M104" i="1"/>
  <c r="M103" i="1" s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C106" i="1"/>
  <c r="C107" i="1"/>
  <c r="L108" i="1"/>
  <c r="N108" i="1"/>
  <c r="O108" i="1"/>
  <c r="P108" i="1"/>
  <c r="Q108" i="1"/>
  <c r="R108" i="1"/>
  <c r="S108" i="1"/>
  <c r="K109" i="1"/>
  <c r="C109" i="1" s="1"/>
  <c r="D110" i="1"/>
  <c r="E110" i="1"/>
  <c r="F110" i="1"/>
  <c r="G110" i="1"/>
  <c r="H110" i="1"/>
  <c r="I110" i="1"/>
  <c r="J110" i="1"/>
  <c r="L110" i="1"/>
  <c r="M110" i="1"/>
  <c r="N110" i="1"/>
  <c r="O110" i="1"/>
  <c r="P110" i="1"/>
  <c r="Q110" i="1"/>
  <c r="R110" i="1"/>
  <c r="S110" i="1"/>
  <c r="K111" i="1"/>
  <c r="K110" i="1" s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C113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C115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C117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C119" i="1"/>
  <c r="M120" i="1"/>
  <c r="N120" i="1"/>
  <c r="O120" i="1"/>
  <c r="P120" i="1"/>
  <c r="Q120" i="1"/>
  <c r="R120" i="1"/>
  <c r="S120" i="1"/>
  <c r="C121" i="1"/>
  <c r="D122" i="1"/>
  <c r="D120" i="1" s="1"/>
  <c r="E122" i="1"/>
  <c r="E120" i="1"/>
  <c r="F122" i="1"/>
  <c r="F120" i="1" s="1"/>
  <c r="G122" i="1"/>
  <c r="G120" i="1" s="1"/>
  <c r="H122" i="1"/>
  <c r="H120" i="1"/>
  <c r="I122" i="1"/>
  <c r="I120" i="1" s="1"/>
  <c r="J122" i="1"/>
  <c r="J120" i="1" s="1"/>
  <c r="K122" i="1"/>
  <c r="K120" i="1" s="1"/>
  <c r="L122" i="1"/>
  <c r="L120" i="1" s="1"/>
  <c r="P122" i="1"/>
  <c r="Q122" i="1"/>
  <c r="R122" i="1"/>
  <c r="S122" i="1"/>
  <c r="M122" i="1"/>
  <c r="N122" i="1"/>
  <c r="O122" i="1"/>
  <c r="C124" i="1"/>
  <c r="H138" i="1"/>
  <c r="I138" i="1"/>
  <c r="J138" i="1"/>
  <c r="C140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C141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C142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C143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D156" i="1"/>
  <c r="D136" i="1" s="1"/>
  <c r="E156" i="1"/>
  <c r="E136" i="1" s="1"/>
  <c r="F156" i="1"/>
  <c r="F136" i="1" s="1"/>
  <c r="H156" i="1"/>
  <c r="I156" i="1"/>
  <c r="J156" i="1"/>
  <c r="K156" i="1"/>
  <c r="L156" i="1"/>
  <c r="M156" i="1"/>
  <c r="N156" i="1"/>
  <c r="O156" i="1"/>
  <c r="P156" i="1"/>
  <c r="P136" i="1" s="1"/>
  <c r="Q156" i="1"/>
  <c r="R156" i="1"/>
  <c r="S156" i="1"/>
  <c r="H157" i="1"/>
  <c r="H137" i="1" s="1"/>
  <c r="I157" i="1"/>
  <c r="J157" i="1"/>
  <c r="K157" i="1"/>
  <c r="M157" i="1"/>
  <c r="N157" i="1"/>
  <c r="O157" i="1"/>
  <c r="P157" i="1"/>
  <c r="Q157" i="1"/>
  <c r="R157" i="1"/>
  <c r="S157" i="1"/>
  <c r="D158" i="1"/>
  <c r="F158" i="1"/>
  <c r="F138" i="1" s="1"/>
  <c r="G158" i="1"/>
  <c r="G138" i="1" s="1"/>
  <c r="L158" i="1"/>
  <c r="L138" i="1" s="1"/>
  <c r="M158" i="1"/>
  <c r="M138" i="1" s="1"/>
  <c r="N158" i="1"/>
  <c r="N138" i="1" s="1"/>
  <c r="O158" i="1"/>
  <c r="O138" i="1" s="1"/>
  <c r="P158" i="1"/>
  <c r="P138" i="1" s="1"/>
  <c r="Q158" i="1"/>
  <c r="Q138" i="1" s="1"/>
  <c r="R158" i="1"/>
  <c r="R138" i="1" s="1"/>
  <c r="S158" i="1"/>
  <c r="S138" i="1" s="1"/>
  <c r="H159" i="1"/>
  <c r="I159" i="1"/>
  <c r="J159" i="1"/>
  <c r="G160" i="1"/>
  <c r="C160" i="1" s="1"/>
  <c r="D161" i="1"/>
  <c r="D159" i="1" s="1"/>
  <c r="E161" i="1"/>
  <c r="E157" i="1" s="1"/>
  <c r="E137" i="1" s="1"/>
  <c r="F161" i="1"/>
  <c r="G161" i="1"/>
  <c r="E162" i="1"/>
  <c r="K162" i="1"/>
  <c r="D163" i="1"/>
  <c r="C164" i="1"/>
  <c r="F165" i="1"/>
  <c r="G165" i="1"/>
  <c r="G163" i="1" s="1"/>
  <c r="E166" i="1"/>
  <c r="E163" i="1" s="1"/>
  <c r="I166" i="1"/>
  <c r="J166" i="1" s="1"/>
  <c r="K166" i="1" s="1"/>
  <c r="L166" i="1" s="1"/>
  <c r="M166" i="1" s="1"/>
  <c r="E167" i="1"/>
  <c r="G167" i="1"/>
  <c r="H167" i="1"/>
  <c r="I167" i="1"/>
  <c r="J167" i="1"/>
  <c r="K167" i="1"/>
  <c r="L167" i="1"/>
  <c r="M167" i="1"/>
  <c r="N167" i="1"/>
  <c r="O167" i="1"/>
  <c r="P167" i="1"/>
  <c r="Q167" i="1"/>
  <c r="R167" i="1"/>
  <c r="S167" i="1"/>
  <c r="T167" i="1"/>
  <c r="C168" i="1"/>
  <c r="D169" i="1"/>
  <c r="D167" i="1" s="1"/>
  <c r="F169" i="1"/>
  <c r="F167" i="1" s="1"/>
  <c r="C170" i="1"/>
  <c r="D171" i="1"/>
  <c r="E171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C172" i="1"/>
  <c r="C173" i="1"/>
  <c r="C174" i="1"/>
  <c r="D175" i="1"/>
  <c r="E175" i="1"/>
  <c r="F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G176" i="1"/>
  <c r="C176" i="1" s="1"/>
  <c r="G177" i="1"/>
  <c r="C177" i="1" s="1"/>
  <c r="C178" i="1"/>
  <c r="D179" i="1"/>
  <c r="E179" i="1"/>
  <c r="F179" i="1"/>
  <c r="G179" i="1"/>
  <c r="H179" i="1"/>
  <c r="I179" i="1"/>
  <c r="J179" i="1"/>
  <c r="K179" i="1"/>
  <c r="M179" i="1"/>
  <c r="N179" i="1"/>
  <c r="O179" i="1"/>
  <c r="P179" i="1"/>
  <c r="Q179" i="1"/>
  <c r="R179" i="1"/>
  <c r="S179" i="1"/>
  <c r="L180" i="1"/>
  <c r="L179" i="1" s="1"/>
  <c r="C181" i="1"/>
  <c r="D182" i="1"/>
  <c r="E182" i="1"/>
  <c r="F182" i="1"/>
  <c r="G182" i="1"/>
  <c r="H182" i="1"/>
  <c r="I182" i="1"/>
  <c r="J182" i="1"/>
  <c r="K182" i="1"/>
  <c r="M182" i="1"/>
  <c r="N182" i="1"/>
  <c r="O182" i="1"/>
  <c r="P182" i="1"/>
  <c r="Q182" i="1"/>
  <c r="R182" i="1"/>
  <c r="S182" i="1"/>
  <c r="L183" i="1"/>
  <c r="C183" i="1" s="1"/>
  <c r="L184" i="1"/>
  <c r="M184" i="1"/>
  <c r="N184" i="1"/>
  <c r="O184" i="1"/>
  <c r="P184" i="1"/>
  <c r="Q184" i="1"/>
  <c r="R184" i="1"/>
  <c r="S184" i="1"/>
  <c r="I190" i="1"/>
  <c r="D193" i="1"/>
  <c r="E193" i="1"/>
  <c r="G193" i="1"/>
  <c r="H193" i="1"/>
  <c r="I193" i="1"/>
  <c r="J193" i="1"/>
  <c r="K193" i="1"/>
  <c r="L193" i="1"/>
  <c r="M193" i="1"/>
  <c r="N193" i="1"/>
  <c r="O193" i="1"/>
  <c r="P193" i="1"/>
  <c r="Q193" i="1"/>
  <c r="Q188" i="1" s="1"/>
  <c r="R193" i="1"/>
  <c r="S193" i="1"/>
  <c r="D194" i="1"/>
  <c r="I194" i="1"/>
  <c r="J194" i="1"/>
  <c r="L194" i="1"/>
  <c r="M194" i="1"/>
  <c r="N194" i="1"/>
  <c r="N189" i="1" s="1"/>
  <c r="O194" i="1"/>
  <c r="O189" i="1" s="1"/>
  <c r="P194" i="1"/>
  <c r="Q194" i="1"/>
  <c r="R194" i="1"/>
  <c r="S194" i="1"/>
  <c r="B195" i="1"/>
  <c r="D195" i="1"/>
  <c r="D190" i="1" s="1"/>
  <c r="J195" i="1"/>
  <c r="J190" i="1" s="1"/>
  <c r="K195" i="1"/>
  <c r="L195" i="1"/>
  <c r="M195" i="1"/>
  <c r="M190" i="1" s="1"/>
  <c r="N195" i="1"/>
  <c r="O195" i="1"/>
  <c r="P195" i="1"/>
  <c r="Q195" i="1"/>
  <c r="R195" i="1"/>
  <c r="S195" i="1"/>
  <c r="T195" i="1"/>
  <c r="D197" i="1"/>
  <c r="L197" i="1"/>
  <c r="M197" i="1"/>
  <c r="N197" i="1"/>
  <c r="O197" i="1"/>
  <c r="P197" i="1"/>
  <c r="Q197" i="1"/>
  <c r="R197" i="1"/>
  <c r="S197" i="1"/>
  <c r="T197" i="1"/>
  <c r="F198" i="1"/>
  <c r="E199" i="1"/>
  <c r="F199" i="1"/>
  <c r="F194" i="1" s="1"/>
  <c r="H199" i="1"/>
  <c r="H194" i="1" s="1"/>
  <c r="I199" i="1"/>
  <c r="I197" i="1" s="1"/>
  <c r="I192" i="1" s="1"/>
  <c r="J199" i="1"/>
  <c r="J197" i="1" s="1"/>
  <c r="J192" i="1" s="1"/>
  <c r="K199" i="1"/>
  <c r="K197" i="1" s="1"/>
  <c r="K192" i="1" s="1"/>
  <c r="E200" i="1"/>
  <c r="F200" i="1" s="1"/>
  <c r="D203" i="1"/>
  <c r="E203" i="1"/>
  <c r="F203" i="1"/>
  <c r="G203" i="1"/>
  <c r="G188" i="1" s="1"/>
  <c r="H203" i="1"/>
  <c r="I203" i="1"/>
  <c r="J203" i="1"/>
  <c r="K203" i="1"/>
  <c r="K188" i="1" s="1"/>
  <c r="L203" i="1"/>
  <c r="M203" i="1"/>
  <c r="N203" i="1"/>
  <c r="O203" i="1"/>
  <c r="P203" i="1"/>
  <c r="Q203" i="1"/>
  <c r="R203" i="1"/>
  <c r="S203" i="1"/>
  <c r="D204" i="1"/>
  <c r="E204" i="1"/>
  <c r="H204" i="1"/>
  <c r="K204" i="1"/>
  <c r="L204" i="1"/>
  <c r="M204" i="1"/>
  <c r="O204" i="1"/>
  <c r="P204" i="1"/>
  <c r="P189" i="1" s="1"/>
  <c r="Q204" i="1"/>
  <c r="R204" i="1"/>
  <c r="S204" i="1"/>
  <c r="D205" i="1"/>
  <c r="E205" i="1"/>
  <c r="F205" i="1"/>
  <c r="G205" i="1"/>
  <c r="H205" i="1"/>
  <c r="I205" i="1"/>
  <c r="J205" i="1"/>
  <c r="K205" i="1"/>
  <c r="L205" i="1"/>
  <c r="M205" i="1"/>
  <c r="M202" i="1" s="1"/>
  <c r="N205" i="1"/>
  <c r="O205" i="1"/>
  <c r="P205" i="1"/>
  <c r="Q205" i="1"/>
  <c r="R205" i="1"/>
  <c r="S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C207" i="1"/>
  <c r="C208" i="1"/>
  <c r="C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S210" i="1"/>
  <c r="C211" i="1"/>
  <c r="C212" i="1"/>
  <c r="C213" i="1"/>
  <c r="D214" i="1"/>
  <c r="E214" i="1"/>
  <c r="F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C215" i="1"/>
  <c r="C216" i="1"/>
  <c r="C217" i="1"/>
  <c r="D218" i="1"/>
  <c r="E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C219" i="1"/>
  <c r="F220" i="1"/>
  <c r="F204" i="1" s="1"/>
  <c r="C221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C223" i="1"/>
  <c r="G224" i="1"/>
  <c r="C224" i="1" s="1"/>
  <c r="C225" i="1"/>
  <c r="G226" i="1"/>
  <c r="H226" i="1"/>
  <c r="K226" i="1"/>
  <c r="L226" i="1"/>
  <c r="M226" i="1"/>
  <c r="N226" i="1"/>
  <c r="O226" i="1"/>
  <c r="P226" i="1"/>
  <c r="Q226" i="1"/>
  <c r="R226" i="1"/>
  <c r="S226" i="1"/>
  <c r="C227" i="1"/>
  <c r="I228" i="1"/>
  <c r="I204" i="1" s="1"/>
  <c r="J228" i="1"/>
  <c r="J226" i="1" s="1"/>
  <c r="C229" i="1"/>
  <c r="D230" i="1"/>
  <c r="E230" i="1"/>
  <c r="F230" i="1"/>
  <c r="G230" i="1"/>
  <c r="H230" i="1"/>
  <c r="K230" i="1"/>
  <c r="L230" i="1"/>
  <c r="M230" i="1"/>
  <c r="N230" i="1"/>
  <c r="O230" i="1"/>
  <c r="P230" i="1"/>
  <c r="Q230" i="1"/>
  <c r="R230" i="1"/>
  <c r="S230" i="1"/>
  <c r="I231" i="1"/>
  <c r="I230" i="1" s="1"/>
  <c r="J231" i="1"/>
  <c r="D232" i="1"/>
  <c r="E232" i="1"/>
  <c r="F232" i="1"/>
  <c r="G232" i="1"/>
  <c r="H232" i="1"/>
  <c r="I232" i="1"/>
  <c r="J232" i="1"/>
  <c r="K232" i="1"/>
  <c r="L232" i="1"/>
  <c r="M232" i="1"/>
  <c r="N232" i="1"/>
  <c r="O232" i="1"/>
  <c r="P232" i="1"/>
  <c r="Q232" i="1"/>
  <c r="R232" i="1"/>
  <c r="S232" i="1"/>
  <c r="C233" i="1"/>
  <c r="C234" i="1"/>
  <c r="I238" i="1"/>
  <c r="J238" i="1"/>
  <c r="K238" i="1"/>
  <c r="L238" i="1"/>
  <c r="M238" i="1"/>
  <c r="N238" i="1"/>
  <c r="O238" i="1"/>
  <c r="P238" i="1"/>
  <c r="Q238" i="1"/>
  <c r="R238" i="1"/>
  <c r="S238" i="1"/>
  <c r="C241" i="1"/>
  <c r="D241" i="1"/>
  <c r="E241" i="1"/>
  <c r="F241" i="1"/>
  <c r="G241" i="1"/>
  <c r="H241" i="1"/>
  <c r="I241" i="1"/>
  <c r="J241" i="1"/>
  <c r="K241" i="1"/>
  <c r="L241" i="1"/>
  <c r="M241" i="1"/>
  <c r="N241" i="1"/>
  <c r="O241" i="1"/>
  <c r="P241" i="1"/>
  <c r="Q241" i="1"/>
  <c r="R241" i="1"/>
  <c r="S241" i="1"/>
  <c r="C242" i="1"/>
  <c r="D242" i="1"/>
  <c r="E242" i="1"/>
  <c r="F242" i="1"/>
  <c r="G242" i="1"/>
  <c r="H242" i="1"/>
  <c r="I242" i="1"/>
  <c r="J242" i="1"/>
  <c r="K242" i="1"/>
  <c r="L242" i="1"/>
  <c r="M242" i="1"/>
  <c r="N242" i="1"/>
  <c r="O242" i="1"/>
  <c r="P242" i="1"/>
  <c r="Q242" i="1"/>
  <c r="R242" i="1"/>
  <c r="S242" i="1"/>
  <c r="C243" i="1"/>
  <c r="D243" i="1"/>
  <c r="E243" i="1"/>
  <c r="F243" i="1"/>
  <c r="G243" i="1"/>
  <c r="H243" i="1"/>
  <c r="I243" i="1"/>
  <c r="J243" i="1"/>
  <c r="K243" i="1"/>
  <c r="L243" i="1"/>
  <c r="M243" i="1"/>
  <c r="N243" i="1"/>
  <c r="O243" i="1"/>
  <c r="P243" i="1"/>
  <c r="Q243" i="1"/>
  <c r="R243" i="1"/>
  <c r="S243" i="1"/>
  <c r="C244" i="1"/>
  <c r="D244" i="1"/>
  <c r="E244" i="1"/>
  <c r="F244" i="1"/>
  <c r="G244" i="1"/>
  <c r="H244" i="1"/>
  <c r="H239" i="1" s="1"/>
  <c r="I244" i="1"/>
  <c r="I239" i="1" s="1"/>
  <c r="J244" i="1"/>
  <c r="J239" i="1" s="1"/>
  <c r="K244" i="1"/>
  <c r="L244" i="1"/>
  <c r="M244" i="1"/>
  <c r="N244" i="1"/>
  <c r="O244" i="1"/>
  <c r="P244" i="1"/>
  <c r="Q244" i="1"/>
  <c r="R244" i="1"/>
  <c r="S244" i="1"/>
  <c r="D252" i="1"/>
  <c r="E252" i="1"/>
  <c r="F252" i="1"/>
  <c r="H252" i="1"/>
  <c r="H237" i="1" s="1"/>
  <c r="I252" i="1"/>
  <c r="J252" i="1"/>
  <c r="K252" i="1"/>
  <c r="L252" i="1"/>
  <c r="M252" i="1"/>
  <c r="N252" i="1"/>
  <c r="O252" i="1"/>
  <c r="P252" i="1"/>
  <c r="Q252" i="1"/>
  <c r="Q237" i="1" s="1"/>
  <c r="R252" i="1"/>
  <c r="S252" i="1"/>
  <c r="F253" i="1"/>
  <c r="G253" i="1"/>
  <c r="G238" i="1" s="1"/>
  <c r="D254" i="1"/>
  <c r="K254" i="1"/>
  <c r="L254" i="1"/>
  <c r="M254" i="1"/>
  <c r="N254" i="1"/>
  <c r="N239" i="1" s="1"/>
  <c r="O254" i="1"/>
  <c r="P254" i="1"/>
  <c r="Q254" i="1"/>
  <c r="R254" i="1"/>
  <c r="S254" i="1"/>
  <c r="J255" i="1"/>
  <c r="J251" i="1" s="1"/>
  <c r="K255" i="1"/>
  <c r="K251" i="1" s="1"/>
  <c r="K236" i="1" s="1"/>
  <c r="L255" i="1"/>
  <c r="L251" i="1" s="1"/>
  <c r="M255" i="1"/>
  <c r="M251" i="1" s="1"/>
  <c r="N255" i="1"/>
  <c r="N251" i="1" s="1"/>
  <c r="O255" i="1"/>
  <c r="O251" i="1" s="1"/>
  <c r="P255" i="1"/>
  <c r="P251" i="1" s="1"/>
  <c r="P236" i="1" s="1"/>
  <c r="Q255" i="1"/>
  <c r="Q251" i="1" s="1"/>
  <c r="R255" i="1"/>
  <c r="R251" i="1" s="1"/>
  <c r="S255" i="1"/>
  <c r="S251" i="1" s="1"/>
  <c r="G256" i="1"/>
  <c r="G252" i="1" s="1"/>
  <c r="D257" i="1"/>
  <c r="D253" i="1" s="1"/>
  <c r="E257" i="1"/>
  <c r="E253" i="1" s="1"/>
  <c r="H257" i="1"/>
  <c r="H255" i="1" s="1"/>
  <c r="H251" i="1" s="1"/>
  <c r="E258" i="1"/>
  <c r="F258" i="1" s="1"/>
  <c r="I258" i="1"/>
  <c r="I255" i="1" s="1"/>
  <c r="I251" i="1" s="1"/>
  <c r="C266" i="1"/>
  <c r="D266" i="1"/>
  <c r="E266" i="1"/>
  <c r="F266" i="1"/>
  <c r="G266" i="1"/>
  <c r="H266" i="1"/>
  <c r="I266" i="1"/>
  <c r="R266" i="1"/>
  <c r="S266" i="1"/>
  <c r="D267" i="1"/>
  <c r="R267" i="1"/>
  <c r="S267" i="1"/>
  <c r="D268" i="1"/>
  <c r="R268" i="1"/>
  <c r="S268" i="1"/>
  <c r="D275" i="1"/>
  <c r="D265" i="1" s="1"/>
  <c r="J275" i="1"/>
  <c r="J265" i="1" s="1"/>
  <c r="K275" i="1"/>
  <c r="K265" i="1" s="1"/>
  <c r="L275" i="1"/>
  <c r="L265" i="1" s="1"/>
  <c r="M275" i="1"/>
  <c r="M265" i="1" s="1"/>
  <c r="N275" i="1"/>
  <c r="N265" i="1" s="1"/>
  <c r="O275" i="1"/>
  <c r="O265" i="1" s="1"/>
  <c r="P275" i="1"/>
  <c r="P265" i="1" s="1"/>
  <c r="Q275" i="1"/>
  <c r="Q265" i="1" s="1"/>
  <c r="R275" i="1"/>
  <c r="R265" i="1"/>
  <c r="S275" i="1"/>
  <c r="S265" i="1" s="1"/>
  <c r="E277" i="1"/>
  <c r="E278" i="1"/>
  <c r="E268" i="1" s="1"/>
  <c r="D281" i="1"/>
  <c r="D261" i="1" s="1"/>
  <c r="E281" i="1"/>
  <c r="F281" i="1"/>
  <c r="F261" i="1" s="1"/>
  <c r="G281" i="1"/>
  <c r="H281" i="1"/>
  <c r="H261" i="1" s="1"/>
  <c r="I281" i="1"/>
  <c r="K281" i="1"/>
  <c r="K261" i="1" s="1"/>
  <c r="N281" i="1"/>
  <c r="N261" i="1" s="1"/>
  <c r="O281" i="1"/>
  <c r="O261" i="1" s="1"/>
  <c r="P281" i="1"/>
  <c r="P261" i="1" s="1"/>
  <c r="Q281" i="1"/>
  <c r="Q261" i="1" s="1"/>
  <c r="R281" i="1"/>
  <c r="S281" i="1"/>
  <c r="M262" i="1"/>
  <c r="N262" i="1"/>
  <c r="O282" i="1"/>
  <c r="P282" i="1"/>
  <c r="P262" i="1" s="1"/>
  <c r="Q282" i="1"/>
  <c r="Q262" i="1" s="1"/>
  <c r="R282" i="1"/>
  <c r="S282" i="1"/>
  <c r="D283" i="1"/>
  <c r="R283" i="1"/>
  <c r="S283" i="1"/>
  <c r="R284" i="1"/>
  <c r="S284" i="1"/>
  <c r="J285" i="1"/>
  <c r="K285" i="1" s="1"/>
  <c r="L285" i="1" s="1"/>
  <c r="D286" i="1"/>
  <c r="F286" i="1"/>
  <c r="H286" i="1"/>
  <c r="I286" i="1"/>
  <c r="J286" i="1"/>
  <c r="L286" i="1"/>
  <c r="E287" i="1"/>
  <c r="E284" i="1" s="1"/>
  <c r="M288" i="1"/>
  <c r="N288" i="1"/>
  <c r="O288" i="1"/>
  <c r="P288" i="1"/>
  <c r="Q288" i="1"/>
  <c r="R288" i="1"/>
  <c r="S288" i="1"/>
  <c r="L289" i="1"/>
  <c r="L288" i="1" s="1"/>
  <c r="M290" i="1"/>
  <c r="N290" i="1"/>
  <c r="O290" i="1"/>
  <c r="P290" i="1"/>
  <c r="Q290" i="1"/>
  <c r="R290" i="1"/>
  <c r="S290" i="1"/>
  <c r="C291" i="1"/>
  <c r="D292" i="1"/>
  <c r="D290" i="1" s="1"/>
  <c r="E292" i="1"/>
  <c r="E282" i="1" s="1"/>
  <c r="F292" i="1"/>
  <c r="G292" i="1"/>
  <c r="G282" i="1" s="1"/>
  <c r="G280" i="1" s="1"/>
  <c r="H292" i="1"/>
  <c r="I292" i="1"/>
  <c r="J292" i="1"/>
  <c r="J282" i="1" s="1"/>
  <c r="K292" i="1"/>
  <c r="K290" i="1" s="1"/>
  <c r="K282" i="1"/>
  <c r="K280" i="1" s="1"/>
  <c r="L292" i="1"/>
  <c r="E293" i="1"/>
  <c r="E290" i="1" s="1"/>
  <c r="D294" i="1"/>
  <c r="E294" i="1"/>
  <c r="F294" i="1"/>
  <c r="G294" i="1"/>
  <c r="H294" i="1"/>
  <c r="I294" i="1"/>
  <c r="J294" i="1"/>
  <c r="K294" i="1"/>
  <c r="M294" i="1"/>
  <c r="N294" i="1"/>
  <c r="O294" i="1"/>
  <c r="L295" i="1"/>
  <c r="C295" i="1" s="1"/>
  <c r="C304" i="1"/>
  <c r="D304" i="1"/>
  <c r="E304" i="1"/>
  <c r="F304" i="1"/>
  <c r="G304" i="1"/>
  <c r="H304" i="1"/>
  <c r="I304" i="1"/>
  <c r="J304" i="1"/>
  <c r="K304" i="1"/>
  <c r="L304" i="1"/>
  <c r="M304" i="1"/>
  <c r="N304" i="1"/>
  <c r="O304" i="1"/>
  <c r="P304" i="1"/>
  <c r="Q304" i="1"/>
  <c r="C305" i="1"/>
  <c r="D305" i="1"/>
  <c r="E305" i="1"/>
  <c r="F305" i="1"/>
  <c r="G305" i="1"/>
  <c r="H305" i="1"/>
  <c r="I305" i="1"/>
  <c r="J305" i="1"/>
  <c r="K305" i="1"/>
  <c r="L305" i="1"/>
  <c r="M305" i="1"/>
  <c r="N305" i="1"/>
  <c r="O305" i="1"/>
  <c r="P305" i="1"/>
  <c r="Q305" i="1"/>
  <c r="C306" i="1"/>
  <c r="D306" i="1"/>
  <c r="E306" i="1"/>
  <c r="F306" i="1"/>
  <c r="G306" i="1"/>
  <c r="H306" i="1"/>
  <c r="I306" i="1"/>
  <c r="J306" i="1"/>
  <c r="K306" i="1"/>
  <c r="L306" i="1"/>
  <c r="M306" i="1"/>
  <c r="N306" i="1"/>
  <c r="O306" i="1"/>
  <c r="P306" i="1"/>
  <c r="Q306" i="1"/>
  <c r="C307" i="1"/>
  <c r="D307" i="1"/>
  <c r="E307" i="1"/>
  <c r="F307" i="1"/>
  <c r="G307" i="1"/>
  <c r="H307" i="1"/>
  <c r="I307" i="1"/>
  <c r="J307" i="1"/>
  <c r="K307" i="1"/>
  <c r="L307" i="1"/>
  <c r="M307" i="1"/>
  <c r="N307" i="1"/>
  <c r="O307" i="1"/>
  <c r="P307" i="1"/>
  <c r="Q307" i="1"/>
  <c r="D320" i="1"/>
  <c r="E320" i="1"/>
  <c r="F320" i="1"/>
  <c r="G320" i="1"/>
  <c r="H320" i="1"/>
  <c r="I320" i="1"/>
  <c r="I300" i="1" s="1"/>
  <c r="J320" i="1"/>
  <c r="K320" i="1"/>
  <c r="L320" i="1"/>
  <c r="M320" i="1"/>
  <c r="N320" i="1"/>
  <c r="O320" i="1"/>
  <c r="P320" i="1"/>
  <c r="Q320" i="1"/>
  <c r="R320" i="1"/>
  <c r="S320" i="1"/>
  <c r="D321" i="1"/>
  <c r="E321" i="1"/>
  <c r="F321" i="1"/>
  <c r="H321" i="1"/>
  <c r="I321" i="1"/>
  <c r="J321" i="1"/>
  <c r="K321" i="1"/>
  <c r="L321" i="1"/>
  <c r="M321" i="1"/>
  <c r="N321" i="1"/>
  <c r="O321" i="1"/>
  <c r="P321" i="1"/>
  <c r="Q321" i="1"/>
  <c r="R321" i="1"/>
  <c r="S321" i="1"/>
  <c r="D322" i="1"/>
  <c r="E322" i="1"/>
  <c r="F322" i="1"/>
  <c r="G322" i="1"/>
  <c r="H322" i="1"/>
  <c r="I322" i="1"/>
  <c r="J322" i="1"/>
  <c r="K322" i="1"/>
  <c r="L322" i="1"/>
  <c r="M322" i="1"/>
  <c r="N322" i="1"/>
  <c r="O322" i="1"/>
  <c r="P322" i="1"/>
  <c r="Q322" i="1"/>
  <c r="R322" i="1"/>
  <c r="S322" i="1"/>
  <c r="G323" i="1"/>
  <c r="C323" i="1" s="1"/>
  <c r="C324" i="1"/>
  <c r="G325" i="1"/>
  <c r="C325" i="1" s="1"/>
  <c r="C326" i="1"/>
  <c r="C333" i="1"/>
  <c r="D333" i="1"/>
  <c r="E333" i="1"/>
  <c r="F333" i="1"/>
  <c r="G333" i="1"/>
  <c r="H333" i="1"/>
  <c r="I333" i="1"/>
  <c r="J333" i="1"/>
  <c r="K333" i="1"/>
  <c r="L333" i="1"/>
  <c r="M333" i="1"/>
  <c r="N333" i="1"/>
  <c r="O333" i="1"/>
  <c r="P333" i="1"/>
  <c r="Q333" i="1"/>
  <c r="C334" i="1"/>
  <c r="D334" i="1"/>
  <c r="E334" i="1"/>
  <c r="F334" i="1"/>
  <c r="G334" i="1"/>
  <c r="H334" i="1"/>
  <c r="I334" i="1"/>
  <c r="J334" i="1"/>
  <c r="K334" i="1"/>
  <c r="L334" i="1"/>
  <c r="M334" i="1"/>
  <c r="N334" i="1"/>
  <c r="O334" i="1"/>
  <c r="P334" i="1"/>
  <c r="Q334" i="1"/>
  <c r="C335" i="1"/>
  <c r="D335" i="1"/>
  <c r="E335" i="1"/>
  <c r="F335" i="1"/>
  <c r="F330" i="1" s="1"/>
  <c r="G335" i="1"/>
  <c r="H335" i="1"/>
  <c r="I335" i="1"/>
  <c r="J335" i="1"/>
  <c r="K335" i="1"/>
  <c r="L335" i="1"/>
  <c r="M335" i="1"/>
  <c r="N335" i="1"/>
  <c r="O335" i="1"/>
  <c r="P335" i="1"/>
  <c r="Q335" i="1"/>
  <c r="C336" i="1"/>
  <c r="D336" i="1"/>
  <c r="E336" i="1"/>
  <c r="F336" i="1"/>
  <c r="G336" i="1"/>
  <c r="H336" i="1"/>
  <c r="I336" i="1"/>
  <c r="J336" i="1"/>
  <c r="K336" i="1"/>
  <c r="L336" i="1"/>
  <c r="M336" i="1"/>
  <c r="N336" i="1"/>
  <c r="O336" i="1"/>
  <c r="P336" i="1"/>
  <c r="Q336" i="1"/>
  <c r="D349" i="1"/>
  <c r="E349" i="1"/>
  <c r="F349" i="1"/>
  <c r="G349" i="1"/>
  <c r="G329" i="1" s="1"/>
  <c r="H349" i="1"/>
  <c r="I349" i="1"/>
  <c r="J349" i="1"/>
  <c r="K349" i="1"/>
  <c r="L349" i="1"/>
  <c r="M349" i="1"/>
  <c r="N349" i="1"/>
  <c r="O349" i="1"/>
  <c r="P349" i="1"/>
  <c r="Q349" i="1"/>
  <c r="R349" i="1"/>
  <c r="S349" i="1"/>
  <c r="D350" i="1"/>
  <c r="E350" i="1"/>
  <c r="E330" i="1" s="1"/>
  <c r="F350" i="1"/>
  <c r="G350" i="1"/>
  <c r="H350" i="1"/>
  <c r="I350" i="1"/>
  <c r="I330" i="1" s="1"/>
  <c r="J350" i="1"/>
  <c r="K350" i="1"/>
  <c r="L350" i="1"/>
  <c r="M350" i="1"/>
  <c r="N350" i="1"/>
  <c r="O350" i="1"/>
  <c r="P350" i="1"/>
  <c r="Q350" i="1"/>
  <c r="R350" i="1"/>
  <c r="S350" i="1"/>
  <c r="D351" i="1"/>
  <c r="E351" i="1"/>
  <c r="F351" i="1"/>
  <c r="G351" i="1"/>
  <c r="H351" i="1"/>
  <c r="I351" i="1"/>
  <c r="J351" i="1"/>
  <c r="J348" i="1" s="1"/>
  <c r="K351" i="1"/>
  <c r="L351" i="1"/>
  <c r="M351" i="1"/>
  <c r="N351" i="1"/>
  <c r="O351" i="1"/>
  <c r="P351" i="1"/>
  <c r="Q351" i="1"/>
  <c r="R351" i="1"/>
  <c r="S351" i="1"/>
  <c r="G352" i="1"/>
  <c r="C352" i="1" s="1"/>
  <c r="C353" i="1"/>
  <c r="C354" i="1"/>
  <c r="C355" i="1"/>
  <c r="J35" i="1"/>
  <c r="C180" i="1"/>
  <c r="K81" i="1"/>
  <c r="P69" i="1"/>
  <c r="O61" i="1"/>
  <c r="O33" i="1"/>
  <c r="D255" i="1"/>
  <c r="D251" i="1" s="1"/>
  <c r="L294" i="1"/>
  <c r="K202" i="1"/>
  <c r="R69" i="1"/>
  <c r="G65" i="1"/>
  <c r="K54" i="1"/>
  <c r="K33" i="1" s="1"/>
  <c r="L202" i="1"/>
  <c r="D138" i="1"/>
  <c r="S69" i="1"/>
  <c r="R33" i="1"/>
  <c r="E254" i="1"/>
  <c r="E239" i="1" s="1"/>
  <c r="D56" i="1"/>
  <c r="C123" i="1"/>
  <c r="C228" i="1"/>
  <c r="K35" i="1"/>
  <c r="L55" i="1"/>
  <c r="L34" i="1" s="1"/>
  <c r="F278" i="1"/>
  <c r="G278" i="1" s="1"/>
  <c r="C78" i="1"/>
  <c r="D284" i="1"/>
  <c r="F254" i="1" l="1"/>
  <c r="F255" i="1"/>
  <c r="Q280" i="1"/>
  <c r="H236" i="1"/>
  <c r="M239" i="1"/>
  <c r="I202" i="1"/>
  <c r="Q137" i="1"/>
  <c r="M137" i="1"/>
  <c r="R52" i="1"/>
  <c r="R31" i="1" s="1"/>
  <c r="H330" i="1"/>
  <c r="C220" i="1"/>
  <c r="C62" i="1"/>
  <c r="J73" i="1"/>
  <c r="C101" i="1"/>
  <c r="F331" i="1"/>
  <c r="E275" i="1"/>
  <c r="E265" i="1" s="1"/>
  <c r="D238" i="1"/>
  <c r="S237" i="1"/>
  <c r="K237" i="1"/>
  <c r="M188" i="1"/>
  <c r="I188" i="1"/>
  <c r="S137" i="1"/>
  <c r="O137" i="1"/>
  <c r="R136" i="1"/>
  <c r="N136" i="1"/>
  <c r="J136" i="1"/>
  <c r="R34" i="1"/>
  <c r="I35" i="1"/>
  <c r="S52" i="1"/>
  <c r="S31" i="1" s="1"/>
  <c r="F52" i="1"/>
  <c r="F31" i="1" s="1"/>
  <c r="R237" i="1"/>
  <c r="R261" i="1"/>
  <c r="Q239" i="1"/>
  <c r="R202" i="1"/>
  <c r="I21" i="1"/>
  <c r="G108" i="1"/>
  <c r="K108" i="1"/>
  <c r="H54" i="1"/>
  <c r="H69" i="1"/>
  <c r="S34" i="1"/>
  <c r="D55" i="1"/>
  <c r="D34" i="1" s="1"/>
  <c r="N52" i="1"/>
  <c r="N31" i="1" s="1"/>
  <c r="N34" i="1"/>
  <c r="F268" i="1"/>
  <c r="F293" i="1"/>
  <c r="G293" i="1" s="1"/>
  <c r="F277" i="1"/>
  <c r="G277" i="1" s="1"/>
  <c r="G275" i="1" s="1"/>
  <c r="G265" i="1" s="1"/>
  <c r="F239" i="1"/>
  <c r="L319" i="1"/>
  <c r="H302" i="1"/>
  <c r="L282" i="1"/>
  <c r="I282" i="1"/>
  <c r="I280" i="1" s="1"/>
  <c r="D282" i="1"/>
  <c r="D280" i="1" s="1"/>
  <c r="R280" i="1"/>
  <c r="M236" i="1"/>
  <c r="Q190" i="1"/>
  <c r="O190" i="1"/>
  <c r="D189" i="1"/>
  <c r="J188" i="1"/>
  <c r="R190" i="1"/>
  <c r="P190" i="1"/>
  <c r="R189" i="1"/>
  <c r="P192" i="1"/>
  <c r="P21" i="1" s="1"/>
  <c r="N192" i="1"/>
  <c r="N21" i="1" s="1"/>
  <c r="S192" i="1"/>
  <c r="S21" i="1" s="1"/>
  <c r="L182" i="1"/>
  <c r="J155" i="1"/>
  <c r="J135" i="1" s="1"/>
  <c r="P137" i="1"/>
  <c r="S136" i="1"/>
  <c r="O136" i="1"/>
  <c r="F33" i="1"/>
  <c r="L35" i="1"/>
  <c r="C32" i="1"/>
  <c r="H26" i="1"/>
  <c r="H17" i="1"/>
  <c r="C17" i="1" s="1"/>
  <c r="C26" i="1" s="1"/>
  <c r="H189" i="1"/>
  <c r="H23" i="1"/>
  <c r="S348" i="1"/>
  <c r="G300" i="1"/>
  <c r="H282" i="1"/>
  <c r="H280" i="1" s="1"/>
  <c r="P237" i="1"/>
  <c r="D22" i="1"/>
  <c r="C89" i="1"/>
  <c r="H57" i="1"/>
  <c r="G258" i="1"/>
  <c r="C258" i="1" s="1"/>
  <c r="C254" i="1" s="1"/>
  <c r="H77" i="1"/>
  <c r="C77" i="1" s="1"/>
  <c r="C82" i="1"/>
  <c r="I226" i="1"/>
  <c r="C226" i="1" s="1"/>
  <c r="E283" i="1"/>
  <c r="E263" i="1" s="1"/>
  <c r="F218" i="1"/>
  <c r="S188" i="1"/>
  <c r="D192" i="1"/>
  <c r="D21" i="1" s="1"/>
  <c r="C76" i="1"/>
  <c r="E255" i="1"/>
  <c r="E251" i="1" s="1"/>
  <c r="E236" i="1" s="1"/>
  <c r="G175" i="1"/>
  <c r="C175" i="1" s="1"/>
  <c r="G159" i="1"/>
  <c r="G155" i="1" s="1"/>
  <c r="G135" i="1" s="1"/>
  <c r="K262" i="1"/>
  <c r="K260" i="1" s="1"/>
  <c r="D330" i="1"/>
  <c r="F329" i="1"/>
  <c r="D329" i="1"/>
  <c r="E329" i="1"/>
  <c r="K319" i="1"/>
  <c r="I319" i="1"/>
  <c r="I299" i="1" s="1"/>
  <c r="G302" i="1"/>
  <c r="E302" i="1"/>
  <c r="S319" i="1"/>
  <c r="H319" i="1"/>
  <c r="H299" i="1" s="1"/>
  <c r="F319" i="1"/>
  <c r="F299" i="1" s="1"/>
  <c r="F302" i="1"/>
  <c r="D302" i="1"/>
  <c r="F287" i="1"/>
  <c r="F283" i="1" s="1"/>
  <c r="R263" i="1"/>
  <c r="S280" i="1"/>
  <c r="Q260" i="1"/>
  <c r="S261" i="1"/>
  <c r="G261" i="1"/>
  <c r="E261" i="1"/>
  <c r="I236" i="1"/>
  <c r="Q236" i="1"/>
  <c r="F237" i="1"/>
  <c r="K239" i="1"/>
  <c r="G23" i="1"/>
  <c r="E237" i="1"/>
  <c r="N190" i="1"/>
  <c r="L190" i="1"/>
  <c r="L189" i="1"/>
  <c r="C199" i="1"/>
  <c r="K190" i="1"/>
  <c r="L192" i="1"/>
  <c r="I155" i="1"/>
  <c r="I135" i="1" s="1"/>
  <c r="C167" i="1"/>
  <c r="R137" i="1"/>
  <c r="J137" i="1"/>
  <c r="M136" i="1"/>
  <c r="I136" i="1"/>
  <c r="I18" i="1" s="1"/>
  <c r="M52" i="1"/>
  <c r="M31" i="1" s="1"/>
  <c r="H108" i="1"/>
  <c r="C91" i="1"/>
  <c r="H33" i="1"/>
  <c r="M24" i="1"/>
  <c r="M55" i="1"/>
  <c r="M34" i="1" s="1"/>
  <c r="I331" i="1"/>
  <c r="I329" i="1"/>
  <c r="E300" i="1"/>
  <c r="P260" i="1"/>
  <c r="C288" i="1"/>
  <c r="M192" i="1"/>
  <c r="R348" i="1"/>
  <c r="F348" i="1"/>
  <c r="O348" i="1"/>
  <c r="K348" i="1"/>
  <c r="H348" i="1"/>
  <c r="H328" i="1" s="1"/>
  <c r="F328" i="1"/>
  <c r="E319" i="1"/>
  <c r="H300" i="1"/>
  <c r="N280" i="1"/>
  <c r="G237" i="1"/>
  <c r="J236" i="1"/>
  <c r="F202" i="1"/>
  <c r="Q24" i="1"/>
  <c r="L21" i="1"/>
  <c r="O319" i="1"/>
  <c r="Q319" i="1"/>
  <c r="M319" i="1"/>
  <c r="J281" i="1"/>
  <c r="J261" i="1" s="1"/>
  <c r="C257" i="1"/>
  <c r="C253" i="1" s="1"/>
  <c r="P239" i="1"/>
  <c r="N202" i="1"/>
  <c r="F193" i="1"/>
  <c r="C198" i="1"/>
  <c r="C193" i="1" s="1"/>
  <c r="G22" i="1"/>
  <c r="C351" i="1"/>
  <c r="C331" i="1" s="1"/>
  <c r="Q348" i="1"/>
  <c r="M348" i="1"/>
  <c r="I348" i="1"/>
  <c r="H331" i="1"/>
  <c r="G321" i="1"/>
  <c r="G301" i="1" s="1"/>
  <c r="C320" i="1"/>
  <c r="C300" i="1" s="1"/>
  <c r="I301" i="1"/>
  <c r="E301" i="1"/>
  <c r="S262" i="1"/>
  <c r="S260" i="1" s="1"/>
  <c r="S239" i="1"/>
  <c r="M237" i="1"/>
  <c r="I237" i="1"/>
  <c r="R236" i="1"/>
  <c r="D236" i="1"/>
  <c r="Q202" i="1"/>
  <c r="S202" i="1"/>
  <c r="O202" i="1"/>
  <c r="F189" i="1"/>
  <c r="S190" i="1"/>
  <c r="S24" i="1"/>
  <c r="P23" i="1"/>
  <c r="G330" i="1"/>
  <c r="O280" i="1"/>
  <c r="O262" i="1"/>
  <c r="H253" i="1"/>
  <c r="H238" i="1"/>
  <c r="C238" i="1" s="1"/>
  <c r="L239" i="1"/>
  <c r="C218" i="1"/>
  <c r="C214" i="1"/>
  <c r="G204" i="1"/>
  <c r="G189" i="1" s="1"/>
  <c r="H202" i="1"/>
  <c r="D202" i="1"/>
  <c r="D188" i="1"/>
  <c r="I23" i="1"/>
  <c r="R192" i="1"/>
  <c r="R21" i="1" s="1"/>
  <c r="N188" i="1"/>
  <c r="C171" i="1"/>
  <c r="G157" i="1"/>
  <c r="G137" i="1" s="1"/>
  <c r="G156" i="1"/>
  <c r="G136" i="1" s="1"/>
  <c r="I137" i="1"/>
  <c r="C122" i="1"/>
  <c r="I108" i="1"/>
  <c r="C114" i="1"/>
  <c r="C105" i="1"/>
  <c r="C87" i="1"/>
  <c r="O55" i="1"/>
  <c r="O34" i="1" s="1"/>
  <c r="O19" i="1" s="1"/>
  <c r="O28" i="1" s="1"/>
  <c r="C67" i="1"/>
  <c r="N22" i="1"/>
  <c r="J22" i="1"/>
  <c r="G348" i="1"/>
  <c r="G328" i="1" s="1"/>
  <c r="G331" i="1"/>
  <c r="D331" i="1"/>
  <c r="H329" i="1"/>
  <c r="I328" i="1"/>
  <c r="C322" i="1"/>
  <c r="C302" i="1" s="1"/>
  <c r="P319" i="1"/>
  <c r="F301" i="1"/>
  <c r="D300" i="1"/>
  <c r="C294" i="1"/>
  <c r="F290" i="1"/>
  <c r="M280" i="1"/>
  <c r="D263" i="1"/>
  <c r="I261" i="1"/>
  <c r="F238" i="1"/>
  <c r="N237" i="1"/>
  <c r="N18" i="1" s="1"/>
  <c r="N27" i="1" s="1"/>
  <c r="J237" i="1"/>
  <c r="J204" i="1"/>
  <c r="J202" i="1" s="1"/>
  <c r="P202" i="1"/>
  <c r="N24" i="1"/>
  <c r="S189" i="1"/>
  <c r="O23" i="1"/>
  <c r="L23" i="1"/>
  <c r="D23" i="1"/>
  <c r="L157" i="1"/>
  <c r="L137" i="1" s="1"/>
  <c r="C179" i="1"/>
  <c r="H155" i="1"/>
  <c r="H135" i="1" s="1"/>
  <c r="F157" i="1"/>
  <c r="F137" i="1" s="1"/>
  <c r="Q136" i="1"/>
  <c r="F108" i="1"/>
  <c r="J108" i="1"/>
  <c r="C83" i="1"/>
  <c r="C72" i="1"/>
  <c r="Q52" i="1"/>
  <c r="Q31" i="1" s="1"/>
  <c r="C71" i="1"/>
  <c r="D61" i="1"/>
  <c r="S35" i="1"/>
  <c r="J24" i="1"/>
  <c r="F35" i="1"/>
  <c r="Q33" i="1"/>
  <c r="Q18" i="1" s="1"/>
  <c r="I22" i="1"/>
  <c r="R23" i="1"/>
  <c r="N23" i="1"/>
  <c r="K194" i="1"/>
  <c r="K189" i="1" s="1"/>
  <c r="K187" i="1" s="1"/>
  <c r="P22" i="1"/>
  <c r="C165" i="1"/>
  <c r="K158" i="1"/>
  <c r="K138" i="1" s="1"/>
  <c r="C156" i="1"/>
  <c r="N137" i="1"/>
  <c r="K137" i="1"/>
  <c r="K19" i="1" s="1"/>
  <c r="H136" i="1"/>
  <c r="C116" i="1"/>
  <c r="E108" i="1"/>
  <c r="C98" i="1"/>
  <c r="L93" i="1"/>
  <c r="C93" i="1" s="1"/>
  <c r="P52" i="1"/>
  <c r="P31" i="1" s="1"/>
  <c r="H85" i="1"/>
  <c r="C85" i="1" s="1"/>
  <c r="C80" i="1"/>
  <c r="C73" i="1"/>
  <c r="C63" i="1"/>
  <c r="K55" i="1"/>
  <c r="K34" i="1" s="1"/>
  <c r="I24" i="1"/>
  <c r="P33" i="1"/>
  <c r="E22" i="1"/>
  <c r="E348" i="1"/>
  <c r="E328" i="1" s="1"/>
  <c r="N348" i="1"/>
  <c r="P348" i="1"/>
  <c r="L348" i="1"/>
  <c r="R319" i="1"/>
  <c r="D301" i="1"/>
  <c r="N319" i="1"/>
  <c r="J319" i="1"/>
  <c r="I302" i="1"/>
  <c r="H301" i="1"/>
  <c r="F300" i="1"/>
  <c r="E299" i="1"/>
  <c r="F284" i="1"/>
  <c r="O260" i="1"/>
  <c r="S263" i="1"/>
  <c r="R262" i="1"/>
  <c r="O236" i="1"/>
  <c r="R239" i="1"/>
  <c r="O239" i="1"/>
  <c r="D239" i="1"/>
  <c r="E238" i="1"/>
  <c r="O237" i="1"/>
  <c r="L237" i="1"/>
  <c r="D237" i="1"/>
  <c r="N236" i="1"/>
  <c r="C232" i="1"/>
  <c r="C206" i="1"/>
  <c r="E202" i="1"/>
  <c r="K21" i="1"/>
  <c r="P24" i="1"/>
  <c r="L24" i="1"/>
  <c r="Q23" i="1"/>
  <c r="M21" i="1"/>
  <c r="O188" i="1"/>
  <c r="L22" i="1"/>
  <c r="H188" i="1"/>
  <c r="C182" i="1"/>
  <c r="E158" i="1"/>
  <c r="P19" i="1"/>
  <c r="P28" i="1" s="1"/>
  <c r="K136" i="1"/>
  <c r="K18" i="1" s="1"/>
  <c r="C118" i="1"/>
  <c r="C112" i="1"/>
  <c r="H103" i="1"/>
  <c r="D108" i="1"/>
  <c r="C108" i="1" s="1"/>
  <c r="J55" i="1"/>
  <c r="J34" i="1" s="1"/>
  <c r="F55" i="1"/>
  <c r="F34" i="1" s="1"/>
  <c r="C53" i="1"/>
  <c r="D24" i="1"/>
  <c r="J23" i="1"/>
  <c r="S22" i="1"/>
  <c r="O22" i="1"/>
  <c r="K22" i="1"/>
  <c r="D33" i="1"/>
  <c r="D18" i="1" s="1"/>
  <c r="F197" i="1"/>
  <c r="F195" i="1"/>
  <c r="F190" i="1" s="1"/>
  <c r="G200" i="1"/>
  <c r="E61" i="1"/>
  <c r="C64" i="1"/>
  <c r="R20" i="1"/>
  <c r="D155" i="1"/>
  <c r="E34" i="1"/>
  <c r="J280" i="1"/>
  <c r="J262" i="1"/>
  <c r="J260" i="1" s="1"/>
  <c r="M163" i="1"/>
  <c r="N166" i="1"/>
  <c r="M285" i="1"/>
  <c r="L236" i="1"/>
  <c r="C120" i="1"/>
  <c r="H18" i="1"/>
  <c r="L262" i="1"/>
  <c r="C158" i="1"/>
  <c r="E138" i="1"/>
  <c r="C138" i="1" s="1"/>
  <c r="N260" i="1"/>
  <c r="I103" i="1"/>
  <c r="G290" i="1"/>
  <c r="H293" i="1"/>
  <c r="G268" i="1"/>
  <c r="H278" i="1"/>
  <c r="E280" i="1"/>
  <c r="G33" i="1"/>
  <c r="L19" i="1"/>
  <c r="O18" i="1"/>
  <c r="J21" i="1"/>
  <c r="D187" i="1"/>
  <c r="S236" i="1"/>
  <c r="L163" i="1"/>
  <c r="L162" i="1"/>
  <c r="S33" i="1"/>
  <c r="G61" i="1"/>
  <c r="O192" i="1"/>
  <c r="O21" i="1" s="1"/>
  <c r="E331" i="1"/>
  <c r="L281" i="1"/>
  <c r="L261" i="1" s="1"/>
  <c r="L260" i="1" s="1"/>
  <c r="C205" i="1"/>
  <c r="G69" i="1"/>
  <c r="C59" i="1"/>
  <c r="S23" i="1"/>
  <c r="M23" i="1"/>
  <c r="E267" i="1"/>
  <c r="E262" i="1" s="1"/>
  <c r="E260" i="1" s="1"/>
  <c r="G222" i="1"/>
  <c r="C222" i="1" s="1"/>
  <c r="C203" i="1"/>
  <c r="H22" i="1"/>
  <c r="H81" i="1"/>
  <c r="G56" i="1"/>
  <c r="G35" i="1" s="1"/>
  <c r="J69" i="1"/>
  <c r="J52" i="1" s="1"/>
  <c r="J31" i="1" s="1"/>
  <c r="D65" i="1"/>
  <c r="H56" i="1"/>
  <c r="H35" i="1" s="1"/>
  <c r="L54" i="1"/>
  <c r="L33" i="1" s="1"/>
  <c r="D319" i="1"/>
  <c r="J290" i="1"/>
  <c r="K159" i="1"/>
  <c r="I81" i="1"/>
  <c r="I52" i="1" s="1"/>
  <c r="I31" i="1" s="1"/>
  <c r="K24" i="1"/>
  <c r="E33" i="1"/>
  <c r="F251" i="1"/>
  <c r="F236" i="1" s="1"/>
  <c r="H55" i="1"/>
  <c r="H34" i="1" s="1"/>
  <c r="P188" i="1"/>
  <c r="I189" i="1"/>
  <c r="I187" i="1" s="1"/>
  <c r="C321" i="1"/>
  <c r="C301" i="1" s="1"/>
  <c r="C292" i="1"/>
  <c r="C256" i="1"/>
  <c r="C252" i="1" s="1"/>
  <c r="C231" i="1"/>
  <c r="L188" i="1"/>
  <c r="L187" i="1" s="1"/>
  <c r="O69" i="1"/>
  <c r="O52" i="1" s="1"/>
  <c r="O31" i="1" s="1"/>
  <c r="Q22" i="1"/>
  <c r="P280" i="1"/>
  <c r="E188" i="1"/>
  <c r="F192" i="1"/>
  <c r="F21" i="1" s="1"/>
  <c r="M260" i="1"/>
  <c r="C104" i="1"/>
  <c r="E194" i="1"/>
  <c r="E197" i="1"/>
  <c r="C350" i="1"/>
  <c r="C330" i="1" s="1"/>
  <c r="O24" i="1"/>
  <c r="F23" i="1"/>
  <c r="C349" i="1"/>
  <c r="C329" i="1" s="1"/>
  <c r="C289" i="1"/>
  <c r="C286" i="1"/>
  <c r="G202" i="1"/>
  <c r="Q192" i="1"/>
  <c r="Q21" i="1" s="1"/>
  <c r="G55" i="1"/>
  <c r="G34" i="1" s="1"/>
  <c r="R22" i="1"/>
  <c r="E195" i="1"/>
  <c r="C161" i="1"/>
  <c r="M22" i="1"/>
  <c r="K163" i="1"/>
  <c r="D348" i="1"/>
  <c r="C348" i="1" s="1"/>
  <c r="C328" i="1" s="1"/>
  <c r="L290" i="1"/>
  <c r="F282" i="1"/>
  <c r="J230" i="1"/>
  <c r="C230" i="1" s="1"/>
  <c r="Q189" i="1"/>
  <c r="M189" i="1"/>
  <c r="R188" i="1"/>
  <c r="R187" i="1" s="1"/>
  <c r="C169" i="1"/>
  <c r="D157" i="1"/>
  <c r="L136" i="1"/>
  <c r="Q55" i="1"/>
  <c r="Q34" i="1" s="1"/>
  <c r="E68" i="1"/>
  <c r="E65" i="1" s="1"/>
  <c r="K57" i="1"/>
  <c r="K52" i="1" s="1"/>
  <c r="K31" i="1" s="1"/>
  <c r="I55" i="1"/>
  <c r="I34" i="1" s="1"/>
  <c r="F163" i="1"/>
  <c r="E159" i="1"/>
  <c r="E155" i="1" s="1"/>
  <c r="E135" i="1" s="1"/>
  <c r="C111" i="1"/>
  <c r="D35" i="1"/>
  <c r="R24" i="1"/>
  <c r="R210" i="1" s="1"/>
  <c r="C210" i="1" s="1"/>
  <c r="C110" i="1"/>
  <c r="F159" i="1"/>
  <c r="J187" i="1" l="1"/>
  <c r="C282" i="1"/>
  <c r="C204" i="1"/>
  <c r="S18" i="1"/>
  <c r="S27" i="1" s="1"/>
  <c r="K23" i="1"/>
  <c r="K28" i="1" s="1"/>
  <c r="C136" i="1"/>
  <c r="M187" i="1"/>
  <c r="G287" i="1"/>
  <c r="G283" i="1" s="1"/>
  <c r="G263" i="1" s="1"/>
  <c r="G254" i="1"/>
  <c r="G239" i="1" s="1"/>
  <c r="C239" i="1" s="1"/>
  <c r="L52" i="1"/>
  <c r="L31" i="1" s="1"/>
  <c r="L28" i="1"/>
  <c r="O187" i="1"/>
  <c r="R19" i="1"/>
  <c r="R28" i="1" s="1"/>
  <c r="G319" i="1"/>
  <c r="G299" i="1" s="1"/>
  <c r="G255" i="1"/>
  <c r="G251" i="1" s="1"/>
  <c r="G236" i="1" s="1"/>
  <c r="C236" i="1" s="1"/>
  <c r="N187" i="1"/>
  <c r="D262" i="1"/>
  <c r="D260" i="1" s="1"/>
  <c r="Q187" i="1"/>
  <c r="P187" i="1"/>
  <c r="D52" i="1"/>
  <c r="F24" i="1"/>
  <c r="G18" i="1"/>
  <c r="G27" i="1" s="1"/>
  <c r="J189" i="1"/>
  <c r="S19" i="1"/>
  <c r="J18" i="1"/>
  <c r="J27" i="1" s="1"/>
  <c r="M18" i="1"/>
  <c r="F275" i="1"/>
  <c r="F265" i="1" s="1"/>
  <c r="F267" i="1"/>
  <c r="N19" i="1"/>
  <c r="N28" i="1" s="1"/>
  <c r="H277" i="1"/>
  <c r="H275" i="1" s="1"/>
  <c r="G267" i="1"/>
  <c r="G262" i="1" s="1"/>
  <c r="G260" i="1" s="1"/>
  <c r="G52" i="1"/>
  <c r="G31" i="1" s="1"/>
  <c r="K27" i="1"/>
  <c r="S28" i="1"/>
  <c r="C202" i="1"/>
  <c r="R260" i="1"/>
  <c r="C103" i="1"/>
  <c r="G19" i="1"/>
  <c r="G28" i="1" s="1"/>
  <c r="F155" i="1"/>
  <c r="F135" i="1" s="1"/>
  <c r="K155" i="1"/>
  <c r="K135" i="1" s="1"/>
  <c r="C281" i="1"/>
  <c r="C261" i="1" s="1"/>
  <c r="C237" i="1"/>
  <c r="S187" i="1"/>
  <c r="F22" i="1"/>
  <c r="C22" i="1" s="1"/>
  <c r="F188" i="1"/>
  <c r="C188" i="1" s="1"/>
  <c r="E18" i="1"/>
  <c r="C69" i="1"/>
  <c r="S20" i="1"/>
  <c r="S29" i="1" s="1"/>
  <c r="C255" i="1"/>
  <c r="C251" i="1" s="1"/>
  <c r="D20" i="1"/>
  <c r="D27" i="1"/>
  <c r="N163" i="1"/>
  <c r="O166" i="1"/>
  <c r="P18" i="1"/>
  <c r="C57" i="1"/>
  <c r="D135" i="1"/>
  <c r="I293" i="1"/>
  <c r="H290" i="1"/>
  <c r="N285" i="1"/>
  <c r="C81" i="1"/>
  <c r="C54" i="1"/>
  <c r="M19" i="1"/>
  <c r="M28" i="1" s="1"/>
  <c r="I27" i="1"/>
  <c r="H200" i="1"/>
  <c r="G197" i="1"/>
  <c r="G195" i="1"/>
  <c r="H52" i="1"/>
  <c r="H31" i="1" s="1"/>
  <c r="H27" i="1"/>
  <c r="C33" i="1"/>
  <c r="C65" i="1"/>
  <c r="E52" i="1"/>
  <c r="E31" i="1" s="1"/>
  <c r="Q27" i="1"/>
  <c r="Q19" i="1"/>
  <c r="Q28" i="1" s="1"/>
  <c r="E56" i="1"/>
  <c r="E190" i="1"/>
  <c r="E24" i="1"/>
  <c r="D31" i="1"/>
  <c r="I278" i="1"/>
  <c r="H268" i="1"/>
  <c r="R29" i="1"/>
  <c r="L18" i="1"/>
  <c r="D328" i="1"/>
  <c r="J19" i="1"/>
  <c r="M162" i="1"/>
  <c r="L159" i="1"/>
  <c r="L155" i="1" s="1"/>
  <c r="L135" i="1" s="1"/>
  <c r="C61" i="1"/>
  <c r="C278" i="1"/>
  <c r="C268" i="1" s="1"/>
  <c r="C34" i="1"/>
  <c r="C68" i="1"/>
  <c r="R18" i="1"/>
  <c r="E192" i="1"/>
  <c r="E189" i="1"/>
  <c r="C189" i="1" s="1"/>
  <c r="E23" i="1"/>
  <c r="C194" i="1"/>
  <c r="G284" i="1"/>
  <c r="H287" i="1"/>
  <c r="D299" i="1"/>
  <c r="C319" i="1"/>
  <c r="C299" i="1" s="1"/>
  <c r="F263" i="1"/>
  <c r="F20" i="1" s="1"/>
  <c r="O27" i="1"/>
  <c r="C55" i="1"/>
  <c r="E27" i="1"/>
  <c r="D137" i="1"/>
  <c r="C157" i="1"/>
  <c r="F262" i="1"/>
  <c r="F280" i="1"/>
  <c r="L280" i="1"/>
  <c r="E19" i="1" l="1"/>
  <c r="F29" i="1"/>
  <c r="C23" i="1"/>
  <c r="S16" i="1"/>
  <c r="S25" i="1" s="1"/>
  <c r="I277" i="1"/>
  <c r="I267" i="1" s="1"/>
  <c r="I262" i="1" s="1"/>
  <c r="H267" i="1"/>
  <c r="H262" i="1" s="1"/>
  <c r="C277" i="1"/>
  <c r="C267" i="1" s="1"/>
  <c r="C262" i="1" s="1"/>
  <c r="C260" i="1" s="1"/>
  <c r="C280" i="1"/>
  <c r="E28" i="1"/>
  <c r="F187" i="1"/>
  <c r="F18" i="1"/>
  <c r="F27" i="1" s="1"/>
  <c r="E187" i="1"/>
  <c r="H197" i="1"/>
  <c r="C197" i="1" s="1"/>
  <c r="H195" i="1"/>
  <c r="C200" i="1"/>
  <c r="I290" i="1"/>
  <c r="C290" i="1" s="1"/>
  <c r="C293" i="1"/>
  <c r="D29" i="1"/>
  <c r="R16" i="1"/>
  <c r="R25" i="1" s="1"/>
  <c r="R27" i="1"/>
  <c r="H265" i="1"/>
  <c r="G190" i="1"/>
  <c r="G24" i="1"/>
  <c r="G192" i="1"/>
  <c r="G21" i="1" s="1"/>
  <c r="C31" i="1"/>
  <c r="F260" i="1"/>
  <c r="F19" i="1"/>
  <c r="E21" i="1"/>
  <c r="O285" i="1"/>
  <c r="C137" i="1"/>
  <c r="D19" i="1"/>
  <c r="L27" i="1"/>
  <c r="J28" i="1"/>
  <c r="E35" i="1"/>
  <c r="C56" i="1"/>
  <c r="O163" i="1"/>
  <c r="P166" i="1"/>
  <c r="C52" i="1"/>
  <c r="M27" i="1"/>
  <c r="P27" i="1"/>
  <c r="I268" i="1"/>
  <c r="I275" i="1"/>
  <c r="I265" i="1" s="1"/>
  <c r="H283" i="1"/>
  <c r="H263" i="1" s="1"/>
  <c r="I287" i="1"/>
  <c r="H284" i="1"/>
  <c r="N162" i="1"/>
  <c r="M159" i="1"/>
  <c r="M155" i="1" s="1"/>
  <c r="M135" i="1" s="1"/>
  <c r="I260" i="1" l="1"/>
  <c r="I19" i="1"/>
  <c r="I28" i="1" s="1"/>
  <c r="H260" i="1"/>
  <c r="H19" i="1"/>
  <c r="H28" i="1" s="1"/>
  <c r="C18" i="1"/>
  <c r="C27" i="1" s="1"/>
  <c r="C275" i="1"/>
  <c r="C265" i="1" s="1"/>
  <c r="I283" i="1"/>
  <c r="I284" i="1"/>
  <c r="J287" i="1"/>
  <c r="P285" i="1"/>
  <c r="G187" i="1"/>
  <c r="G20" i="1"/>
  <c r="O162" i="1"/>
  <c r="N159" i="1"/>
  <c r="H192" i="1"/>
  <c r="C192" i="1" s="1"/>
  <c r="H24" i="1"/>
  <c r="H21" i="1" s="1"/>
  <c r="C21" i="1" s="1"/>
  <c r="H190" i="1"/>
  <c r="C195" i="1"/>
  <c r="F28" i="1"/>
  <c r="F16" i="1"/>
  <c r="F25" i="1" s="1"/>
  <c r="P163" i="1"/>
  <c r="Q166" i="1"/>
  <c r="D28" i="1"/>
  <c r="D16" i="1"/>
  <c r="E20" i="1"/>
  <c r="C35" i="1"/>
  <c r="C19" i="1" l="1"/>
  <c r="C28" i="1" s="1"/>
  <c r="C24" i="1"/>
  <c r="N155" i="1"/>
  <c r="G29" i="1"/>
  <c r="G16" i="1"/>
  <c r="G25" i="1" s="1"/>
  <c r="O159" i="1"/>
  <c r="O155" i="1" s="1"/>
  <c r="O135" i="1" s="1"/>
  <c r="P162" i="1"/>
  <c r="D25" i="1"/>
  <c r="E29" i="1"/>
  <c r="E16" i="1"/>
  <c r="E25" i="1" s="1"/>
  <c r="H187" i="1"/>
  <c r="C187" i="1" s="1"/>
  <c r="H20" i="1"/>
  <c r="C190" i="1"/>
  <c r="Q163" i="1"/>
  <c r="R166" i="1"/>
  <c r="Q285" i="1"/>
  <c r="J283" i="1"/>
  <c r="J263" i="1" s="1"/>
  <c r="J20" i="1" s="1"/>
  <c r="K287" i="1"/>
  <c r="J284" i="1"/>
  <c r="I263" i="1"/>
  <c r="I20" i="1" s="1"/>
  <c r="I29" i="1" l="1"/>
  <c r="I16" i="1"/>
  <c r="I25" i="1" s="1"/>
  <c r="S166" i="1"/>
  <c r="R163" i="1"/>
  <c r="N135" i="1"/>
  <c r="C285" i="1"/>
  <c r="Q162" i="1"/>
  <c r="P159" i="1"/>
  <c r="L287" i="1"/>
  <c r="K283" i="1"/>
  <c r="K263" i="1" s="1"/>
  <c r="K20" i="1" s="1"/>
  <c r="K284" i="1"/>
  <c r="H29" i="1"/>
  <c r="H16" i="1"/>
  <c r="H25" i="1" s="1"/>
  <c r="J29" i="1"/>
  <c r="J16" i="1"/>
  <c r="J25" i="1" s="1"/>
  <c r="K29" i="1" l="1"/>
  <c r="K16" i="1"/>
  <c r="K25" i="1" s="1"/>
  <c r="S163" i="1"/>
  <c r="C163" i="1" s="1"/>
  <c r="C166" i="1"/>
  <c r="M287" i="1"/>
  <c r="L283" i="1"/>
  <c r="L263" i="1" s="1"/>
  <c r="L20" i="1" s="1"/>
  <c r="L284" i="1"/>
  <c r="R162" i="1"/>
  <c r="Q159" i="1"/>
  <c r="Q155" i="1" s="1"/>
  <c r="Q135" i="1" s="1"/>
  <c r="P155" i="1"/>
  <c r="M283" i="1" l="1"/>
  <c r="M263" i="1" s="1"/>
  <c r="M20" i="1" s="1"/>
  <c r="N287" i="1"/>
  <c r="M284" i="1"/>
  <c r="L29" i="1"/>
  <c r="L16" i="1"/>
  <c r="L25" i="1" s="1"/>
  <c r="S162" i="1"/>
  <c r="R159" i="1"/>
  <c r="R155" i="1" s="1"/>
  <c r="R135" i="1" s="1"/>
  <c r="P135" i="1"/>
  <c r="N283" i="1" l="1"/>
  <c r="N263" i="1" s="1"/>
  <c r="N20" i="1" s="1"/>
  <c r="O287" i="1"/>
  <c r="N284" i="1"/>
  <c r="M29" i="1"/>
  <c r="M16" i="1"/>
  <c r="M25" i="1" s="1"/>
  <c r="S159" i="1"/>
  <c r="C162" i="1"/>
  <c r="O283" i="1" l="1"/>
  <c r="O263" i="1" s="1"/>
  <c r="O20" i="1" s="1"/>
  <c r="P287" i="1"/>
  <c r="O284" i="1"/>
  <c r="N29" i="1"/>
  <c r="N16" i="1"/>
  <c r="N25" i="1" s="1"/>
  <c r="S155" i="1"/>
  <c r="C159" i="1"/>
  <c r="O29" i="1" l="1"/>
  <c r="O16" i="1"/>
  <c r="O25" i="1" s="1"/>
  <c r="Q287" i="1"/>
  <c r="P283" i="1"/>
  <c r="P263" i="1" s="1"/>
  <c r="P20" i="1" s="1"/>
  <c r="P284" i="1"/>
  <c r="S135" i="1"/>
  <c r="C135" i="1" s="1"/>
  <c r="C155" i="1"/>
  <c r="Q283" i="1" l="1"/>
  <c r="C287" i="1"/>
  <c r="C284" i="1" s="1"/>
  <c r="Q284" i="1"/>
  <c r="P29" i="1"/>
  <c r="P16" i="1"/>
  <c r="P25" i="1" s="1"/>
  <c r="Q263" i="1" l="1"/>
  <c r="Q20" i="1" s="1"/>
  <c r="C283" i="1"/>
  <c r="C263" i="1" s="1"/>
  <c r="Q29" i="1" l="1"/>
  <c r="Q16" i="1"/>
  <c r="C20" i="1"/>
  <c r="C29" i="1" s="1"/>
  <c r="Q25" i="1" l="1"/>
  <c r="C16" i="1"/>
  <c r="C25" i="1" s="1"/>
</calcChain>
</file>

<file path=xl/sharedStrings.xml><?xml version="1.0" encoding="utf-8"?>
<sst xmlns="http://schemas.openxmlformats.org/spreadsheetml/2006/main" count="431" uniqueCount="146">
  <si>
    <t>Наименование мероприятия / Источники расходов на финансирование</t>
  </si>
  <si>
    <t>Объем расходов на выполнение мероприятия за счет всех источников ресурсного обеспечения, рублей</t>
  </si>
  <si>
    <t>Номер целевых показателей, на достижение которых направлены мероприятия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</si>
  <si>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</si>
  <si>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</si>
  <si>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</si>
  <si>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</si>
  <si>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</si>
  <si>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</si>
  <si>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</si>
  <si>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</si>
  <si>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</si>
  <si>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</si>
  <si>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</si>
  <si>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</si>
  <si>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</si>
  <si>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</si>
  <si>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</si>
  <si>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</si>
  <si>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</si>
  <si>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</si>
  <si>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</si>
  <si>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</si>
  <si>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</si>
  <si>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внебюджетные источники</t>
  </si>
  <si>
    <t>Капитальные вложения</t>
  </si>
  <si>
    <t>Прочие нужды</t>
  </si>
  <si>
    <t>ВСЕГО ПО ПОДПРОГРАММЕ 1, В ТОМ ЧИСЛЕ:</t>
  </si>
  <si>
    <t xml:space="preserve">1.1.1.1.; 1.1.1.2.; 1.1.1.3.; 1.1.1.4.; 1.1.1.5.; 1.1.1.6.; 1.1.1.7.; 1.1.1.8.;1.1.1.9.; 1.1.1.10.; 1.1.1.11.;1.1.1.12.; 1.1.2.1;1.1.2.2;1.1.2.3.; 1.1.3.1. </t>
  </si>
  <si>
    <t>1. Капитальные вложения</t>
  </si>
  <si>
    <t>Всего по направлению "Капитальные вложения",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</si>
  <si>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</si>
  <si>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</si>
  <si>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1.2. Иные капитальные вложения</t>
  </si>
  <si>
    <t>Иные капитальные вложения всего, из них</t>
  </si>
  <si>
    <t>2. Прочие нужды</t>
  </si>
  <si>
    <t>Всего по направлению "Прочие нужды", в том числе</t>
  </si>
  <si>
    <t>1.1.1.1; 1.1.1.2; 1.1.1.4;1.1.1.6;1.1.1.8.;1.1.1.12.</t>
  </si>
  <si>
    <t>1.1.1.1; 1.1.1.2; 1.1.1.3; 1.1.1.4; 1.1.1.5; 1.1.1.6; 1.1.1.7; 1.1.1.8; 1.1.1.9; 1.1.1.10; 1.1.1.11;1.1.1.12.</t>
  </si>
  <si>
    <t>1.1.1.3; 1.1.1.5</t>
  </si>
  <si>
    <t>1.1.2.1</t>
  </si>
  <si>
    <t>1.1.1.1; 1.1.1.2; 1.1.1.4; 1.1.1.6; 1.1.1.7;1.1.1.12.</t>
  </si>
  <si>
    <t>1.1.3.1</t>
  </si>
  <si>
    <t xml:space="preserve">1.1.1.1; 1.1.1.2; 1.1.1.4; 1.1.1.6;1.1.1.12. </t>
  </si>
  <si>
    <t>1.1.1.7</t>
  </si>
  <si>
    <t xml:space="preserve">1.1.1.1; 1.1.1.4;1.1.1.12. </t>
  </si>
  <si>
    <t>1.1.1.1.;1.1.1.12.</t>
  </si>
  <si>
    <t>1.1.2.1.;1.1.2.2.,1.1.2.3.</t>
  </si>
  <si>
    <t>1.1.1.1; 1.1.1.2; 1.1.1.4;1.1.1.6,1.1.1.12.</t>
  </si>
  <si>
    <t>1.1.1.1; 1.1.1.2; 1.1.1.4;1.1.1.6</t>
  </si>
  <si>
    <t>1.1.1.12.</t>
  </si>
  <si>
    <t>1.1.1.4.;1.1.1.8.;     1.1.1.12.</t>
  </si>
  <si>
    <t>1.1.1.13.</t>
  </si>
  <si>
    <t>ВСЕГО ПО ПОДПРОГРАММЕ 2, В ТОМ ЧИСЛЕ:</t>
  </si>
  <si>
    <t>2.2.1.1; 2.2.1.2; 2.2.2.1; 2.2.2.2; 2.2.2.3</t>
  </si>
  <si>
    <t>2.2.2.1</t>
  </si>
  <si>
    <t>2.2.1.3</t>
  </si>
  <si>
    <t>2.2.1.4</t>
  </si>
  <si>
    <t>ВСЕГО ПО ПОДПРОГРАММЕ 3, В ТОМ ЧИСЛЕ:</t>
  </si>
  <si>
    <t>3.3.1.1; 3.3.1.2; 3.3.1.3; 3.3.1.4; 3.3.1.5</t>
  </si>
  <si>
    <t>3.3.1.1</t>
  </si>
  <si>
    <t>3.3.1.2; 3.3.1.4; 3.3.1.5</t>
  </si>
  <si>
    <t>3.3.1.5</t>
  </si>
  <si>
    <t>3.3.1.4</t>
  </si>
  <si>
    <t>3.3.1.4.</t>
  </si>
  <si>
    <t>ВСЕГО ПО ПОДПРОГРАММЕ 4, В ТОМ ЧИСЛЕ:</t>
  </si>
  <si>
    <t>4.4.1.1</t>
  </si>
  <si>
    <t>ВСЕГО ПО ПОДПРОГРАММЕ 5, В ТОМ ЧИСЛЕ:</t>
  </si>
  <si>
    <t>5.5.1.1; 5.5.1.2; 5.5.1.3;5.5.1.4; 5.5.2.1;5.5.2.2.; 5.5.2.3; 5.5.2.4</t>
  </si>
  <si>
    <t>Иные капитальные вложения, всего, из них</t>
  </si>
  <si>
    <t>5.5.1.1; 5.5.1.2; 5.5.1.3; 5.5.1.4; 5.5.2.1; 5.5.2.2; 5.5.2.3; 5.5.2.4</t>
  </si>
  <si>
    <t>5.5.1.1; 5.5.1.2; 5.5.1.3;5.5.1.4; 5.5.2.1;5.5.2.2; 5.5.2.3;5.5.2.4.</t>
  </si>
  <si>
    <t>5.5.2.1</t>
  </si>
  <si>
    <t xml:space="preserve"> 5.5.2.3; 5.5.2.4</t>
  </si>
  <si>
    <t xml:space="preserve"> 5.5.2.3</t>
  </si>
  <si>
    <t>ВСЕГО ПО ПОДПРОГРАММЕ 6, В ТОМ ЧИСЛЕ:</t>
  </si>
  <si>
    <t>6.6.1.1; 6.6.1.2; 6.6.1.3</t>
  </si>
  <si>
    <t>ПОДПРОГРАММА 7  "Плавание для всех"</t>
  </si>
  <si>
    <t>ВСЕГО ПО ПОДПРОГРАММЕ 7, В ТОМ ЧИСЛЕ:</t>
  </si>
  <si>
    <t>7.7.1.1.</t>
  </si>
  <si>
    <t>ПЛАН МЕРОПРИЯТИЙ</t>
  </si>
  <si>
    <t>Приложение №2</t>
  </si>
  <si>
    <t>округа до 2030 года"</t>
  </si>
  <si>
    <r>
      <t>Мероприятие 1</t>
    </r>
    <r>
      <rPr>
        <sz val="11"/>
        <rFont val="Liberation Serif"/>
        <family val="1"/>
        <charset val="204"/>
      </rPr>
      <t xml:space="preserve"> "Реализация дополнительных образовательных программ спортивной подготовки, всего, из них</t>
    </r>
  </si>
  <si>
    <r>
      <t>Мероприятие 2</t>
    </r>
    <r>
      <rPr>
        <sz val="11"/>
        <rFont val="Liberation Serif"/>
        <family val="1"/>
        <charset val="204"/>
      </rPr>
      <t xml:space="preserve"> "Организация предоставления услуг (выполнения работ) в сфере физической культуры и спорта", всего, из них</t>
    </r>
  </si>
  <si>
    <r>
      <t>Мероприятие 3</t>
    </r>
    <r>
      <rPr>
        <sz val="11"/>
        <rFont val="Liberation Serif"/>
        <family val="1"/>
        <charset val="204"/>
      </rPr>
      <t xml:space="preserve"> "Организация и проведение мероприятий в сфере физической культуры и спорта", всего, из них</t>
    </r>
  </si>
  <si>
    <r>
      <t>Мероприятие 4</t>
    </r>
    <r>
      <rPr>
        <sz val="11"/>
        <rFont val="Liberation Serif"/>
        <family val="1"/>
        <charset val="204"/>
      </rPr>
      <t xml:space="preserve">  "Организация, проведение и участие в учебно-тренировочных сборах, спортивных соревнованиях и физкультурно-массовых мероприятиях", всего, из них</t>
    </r>
  </si>
  <si>
    <r>
      <t xml:space="preserve">Мероприятие 5  </t>
    </r>
    <r>
      <rPr>
        <sz val="11"/>
        <rFont val="Liberation Serif"/>
        <family val="1"/>
        <charset val="204"/>
      </rPr>
      <t>"Организация и проведение мероприятий среди людей с ограниченными физическими возможностями здоровья", всего, из них</t>
    </r>
  </si>
  <si>
    <r>
      <t xml:space="preserve">Мероприятие 6 </t>
    </r>
    <r>
      <rPr>
        <sz val="11"/>
        <rFont val="Liberation Serif"/>
        <family val="1"/>
        <charset val="204"/>
      </rPr>
      <t xml:space="preserve">   "Обеспечение мероприятий по развитию материально-технической базы муниципальных учреждений в сфере физической культуры и спорта", всего, из них</t>
    </r>
  </si>
  <si>
    <r>
      <t xml:space="preserve">Мероприятие 9        </t>
    </r>
    <r>
      <rPr>
        <sz val="11"/>
        <rFont val="Liberation Serif"/>
        <family val="1"/>
        <charset val="204"/>
      </rPr>
      <t>"Создание спортивных площадок (оснащение спортивным оборудованием) для занятий уличной гимнастикой ", всего, из них</t>
    </r>
  </si>
  <si>
    <r>
      <t xml:space="preserve">Мероприятие  10                       </t>
    </r>
    <r>
      <rPr>
        <sz val="11"/>
        <rFont val="Liberation Serif"/>
        <family val="1"/>
        <charset val="204"/>
      </rPr>
      <t>"Государственная поддержка организаций, входящих в систему спортивной подготовки", всего, из них</t>
    </r>
  </si>
  <si>
    <r>
      <t xml:space="preserve">Мероприятие  11                       </t>
    </r>
    <r>
      <rPr>
        <sz val="11"/>
        <rFont val="Liberation Serif"/>
        <family val="1"/>
        <charset val="204"/>
      </rPr>
      <t>"Осуществление мероприятий, направленных на соблюдение требований и норм антитеррористической защищённости", всего, из них</t>
    </r>
  </si>
  <si>
    <r>
      <t xml:space="preserve">Мероприятие  12                       </t>
    </r>
    <r>
      <rPr>
        <sz val="11"/>
        <rFont val="Liberation Serif"/>
        <family val="1"/>
        <charset val="204"/>
      </rPr>
      <t>"Осуществление мероприятий, направленных на соблюдение требований и норм санитарного законодательства", всего, из них</t>
    </r>
  </si>
  <si>
    <r>
      <t xml:space="preserve">Мероприятие  13           </t>
    </r>
    <r>
      <rPr>
        <sz val="11"/>
        <rFont val="Liberation Serif"/>
        <family val="1"/>
        <charset val="204"/>
      </rPr>
      <t>"Поддержка муниципальных учреждений спортивной направленности по адаптивной физической культуре и спорту ", всего, из них</t>
    </r>
  </si>
  <si>
    <r>
      <t xml:space="preserve">Мероприятие  14                       </t>
    </r>
    <r>
      <rPr>
        <sz val="11"/>
        <rFont val="Liberation Serif"/>
        <family val="1"/>
        <charset val="204"/>
      </rPr>
      <t>"Осуществление мероприятий, направленных на соблюдение требований и норм пожарной безопасности в учреждениях физической культуры и спорта", всего, из них</t>
    </r>
  </si>
  <si>
    <r>
      <t>Мероприятие 19            "</t>
    </r>
    <r>
      <rPr>
        <sz val="11"/>
        <rFont val="Liberation Serif"/>
        <family val="1"/>
        <charset val="204"/>
      </rPr>
      <t xml:space="preserve">Ремонт спортивно-игровых площадок", всего  
из них: </t>
    </r>
  </si>
  <si>
    <r>
      <t>Мероприятие 21       "</t>
    </r>
    <r>
      <rPr>
        <sz val="11"/>
        <rFont val="Liberation Serif"/>
        <family val="1"/>
        <charset val="204"/>
      </rPr>
      <t xml:space="preserve">Реализация дополнительных общеразвивающих программ спортивной направленности " , всего, из них </t>
    </r>
  </si>
  <si>
    <r>
      <t xml:space="preserve">Мероприятие 15 </t>
    </r>
    <r>
      <rPr>
        <sz val="11"/>
        <rFont val="Liberation Serif"/>
        <family val="1"/>
        <charset val="204"/>
      </rPr>
      <t>"Организация предоставления услуг (выполнения работ) в сфере физической культуры и спорта (обеспечение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Федерации)  ", всего, из них</t>
    </r>
  </si>
  <si>
    <r>
      <t xml:space="preserve">Мероприятие 16 </t>
    </r>
    <r>
      <rPr>
        <sz val="11"/>
        <rFont val="Liberation Serif"/>
        <family val="1"/>
        <charset val="204"/>
      </rPr>
      <t>"Реализация дополнительных образовательных программ спортивной подготовки (обеспечение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Федерации) ", всего, из них</t>
    </r>
  </si>
  <si>
    <r>
      <t xml:space="preserve">Мероприятие 22 </t>
    </r>
    <r>
      <rPr>
        <sz val="11"/>
        <rFont val="Liberation Serif"/>
        <family val="1"/>
        <charset val="204"/>
      </rPr>
      <t>"Реализация дополнительных общеразвивающих программ в области физической культуры и спорта (обеспечение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Федерации)  ", всего, из них</t>
    </r>
  </si>
  <si>
    <r>
      <t xml:space="preserve">Мероприятие 7    </t>
    </r>
    <r>
      <rPr>
        <sz val="11"/>
        <rFont val="Liberation Serif"/>
        <family val="1"/>
        <charset val="204"/>
      </rPr>
      <t xml:space="preserve">           "Реализация мероприятий по поэтапному внедрению Всероссийского физкультурно-спортивного комплекса "Готов к труду и обороне" (ГТО)"всего, из них</t>
    </r>
  </si>
  <si>
    <r>
      <t xml:space="preserve">Мероприятие 23 </t>
    </r>
    <r>
      <rPr>
        <sz val="11"/>
        <rFont val="Liberation Serif"/>
        <family val="1"/>
        <charset val="204"/>
      </rPr>
      <t>"Реализация дополнительных общеразвивающих программ в области физической культуры и спорта (обеспечение осуществление оплаты труда работников муниципальных организаций дополнительного образования и  муниципальных образовательных организаций высшего образования с учётом установленных указами Президента РФ показателей соотношения заработной платы для данных категорий работников)  ", всего, из них</t>
    </r>
  </si>
  <si>
    <r>
      <t xml:space="preserve">Мероприятие 24 </t>
    </r>
    <r>
      <rPr>
        <sz val="11"/>
        <rFont val="Liberation Serif"/>
        <family val="1"/>
        <charset val="204"/>
      </rPr>
      <t>"Реализация дополнительных образовательных программ спортивной подготовки (обеспечение осуществление оплаты труда работников муниципальных организаций дополнительного образования и  муниципальных образовательных организаций высшего образования с учётом установленных указами Президента РФ показателей соотношения заработной платы для данных категорий работников)  ", всего, из них</t>
    </r>
  </si>
  <si>
    <r>
      <t xml:space="preserve">Мероприятие 25 </t>
    </r>
    <r>
      <rPr>
        <sz val="11"/>
        <rFont val="Liberation Serif"/>
        <family val="1"/>
        <charset val="204"/>
      </rPr>
      <t>"Организация предоставления дополнительного образования детей в сфере физической культуры и спорта", всего, из них</t>
    </r>
  </si>
  <si>
    <r>
      <t xml:space="preserve">Мероприятие 26 </t>
    </r>
    <r>
      <rPr>
        <sz val="11"/>
        <rFont val="Liberation Serif"/>
        <family val="1"/>
        <charset val="204"/>
      </rPr>
      <t>"Обеспечение мероприятий по развитию материально-технической базы муниципальных организаций дополнительного образования детей – детско-юношеских спортивных школ и специализированных детско-юношеских спортивных школ олимпийского резерва", всего, из них</t>
    </r>
  </si>
  <si>
    <r>
      <t xml:space="preserve">Мероприятие 27   </t>
    </r>
    <r>
      <rPr>
        <sz val="11"/>
        <rFont val="Liberation Serif"/>
        <family val="1"/>
        <charset val="204"/>
      </rPr>
      <t xml:space="preserve">    "Участие в учебно-тренировочных сборах и спортивных соревнованиях", всего, из них</t>
    </r>
  </si>
  <si>
    <r>
      <t>Мероприятие 28</t>
    </r>
    <r>
      <rPr>
        <sz val="11"/>
        <rFont val="Liberation Serif"/>
        <family val="1"/>
        <charset val="204"/>
      </rPr>
      <t xml:space="preserve"> "Обеспечение мероприятий по развитию материально-технической базы муниципальных организаций дополнительного образования детей - детско - юношеских спортивных школ и специализированных детско- юношеских спортивных школ олимпийского резерва (приобретение системы хронометража для циклических видов спорта для МБОУ ДО ДЮСШ "Локомотив")"  </t>
    </r>
  </si>
  <si>
    <r>
      <t xml:space="preserve">Мероприятие 29       </t>
    </r>
    <r>
      <rPr>
        <sz val="11"/>
        <rFont val="Liberation Serif"/>
        <family val="1"/>
        <charset val="204"/>
      </rPr>
      <t>Реализация проекта инициативного бюджетирования "Инвестиции в развитие талантливой молодежи в области физической культуры и спорта" , всего, из них</t>
    </r>
  </si>
  <si>
    <r>
      <t>Мероприятие 30       "</t>
    </r>
    <r>
      <rPr>
        <sz val="11"/>
        <rFont val="Liberation Serif"/>
        <family val="1"/>
        <charset val="204"/>
      </rPr>
      <t>Реализация дополнительных общеразвивающих программ " , всего, из них</t>
    </r>
  </si>
  <si>
    <r>
      <t xml:space="preserve">Мероприятие  31                       </t>
    </r>
    <r>
      <rPr>
        <sz val="11"/>
        <rFont val="Liberation Serif"/>
        <family val="1"/>
        <charset val="204"/>
      </rPr>
      <t>"Осуществление мероприятий, направленных на соблюдение требований и норм пожарной безопасности ", всего из них</t>
    </r>
  </si>
  <si>
    <r>
      <t xml:space="preserve">Мероприятие 32 </t>
    </r>
    <r>
      <rPr>
        <sz val="11"/>
        <rFont val="Liberation Serif"/>
        <family val="1"/>
        <charset val="204"/>
      </rPr>
      <t>"Реализация дополнительных общеразвивающих программ (в части обеспечения фондов оплаты труда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Федерации)  ", всего, из них</t>
    </r>
  </si>
  <si>
    <r>
      <t>Мероприятие 33</t>
    </r>
    <r>
      <rPr>
        <sz val="11"/>
        <rFont val="Liberation Serif"/>
        <family val="1"/>
        <charset val="204"/>
      </rPr>
      <t xml:space="preserve"> "Проектирование освещенной "Лыжероллерной трассы" специализированной детско-юношеской спортивной школы Олимпийского резерва, располагающейся в дальнейшем по адресу г. Кушва, микрорайон Дачный, ул. Энгельса", всего, из них</t>
    </r>
  </si>
  <si>
    <r>
      <t>Мероприятие 34</t>
    </r>
    <r>
      <rPr>
        <sz val="11"/>
        <rFont val="Liberation Serif"/>
        <family val="1"/>
        <charset val="204"/>
      </rPr>
      <t xml:space="preserve"> "Приобретение проекта строительства крытого катка с искусственным льдом с привязкой, инженерные изыскания, подготовка земельного участка", всего, из них</t>
    </r>
  </si>
  <si>
    <r>
      <t xml:space="preserve">Мероприятие 35    </t>
    </r>
    <r>
      <rPr>
        <sz val="11"/>
        <rFont val="Liberation Serif"/>
        <family val="1"/>
        <charset val="204"/>
      </rPr>
      <t>"Проектные и изыскательные работы по устройству универсальнойспортивной площадке "Локомотив" ", всего, из них</t>
    </r>
  </si>
  <si>
    <r>
      <t xml:space="preserve">Мероприятие 36 </t>
    </r>
    <r>
      <rPr>
        <sz val="11"/>
        <rFont val="Liberation Serif"/>
        <family val="1"/>
        <charset val="204"/>
      </rPr>
      <t>"Присоединение к сетям инженерно-технического обеспечения спортивного комплекса "Синегорец" , всего, из них</t>
    </r>
  </si>
  <si>
    <r>
      <t>Мероприятие 37</t>
    </r>
    <r>
      <rPr>
        <sz val="11"/>
        <rFont val="Liberation Serif"/>
        <family val="1"/>
        <charset val="204"/>
      </rPr>
      <t xml:space="preserve">  "Реконструкция спортивного комплекса "Синегорец" (в части изготовления и монтажа на фасаде здания спортивного комплекса наружной рекламы с официальным наименованием спортивного сооружения после реконструкции)", всего, из них</t>
    </r>
  </si>
  <si>
    <r>
      <t>Мероприятие 38</t>
    </r>
    <r>
      <rPr>
        <sz val="11"/>
        <rFont val="Liberation Serif"/>
        <family val="1"/>
        <charset val="204"/>
      </rPr>
      <t xml:space="preserve">  "Завершение строительства универсальной спортивной площадки "Локомотив", расположенной по адресу: г.Кушва, ул.Дзержинского,1 (в части уплаты судебных расходов)" , всего, из них</t>
    </r>
  </si>
  <si>
    <r>
      <t>Мероприятие 39</t>
    </r>
    <r>
      <rPr>
        <sz val="11"/>
        <rFont val="Liberation Serif"/>
        <family val="1"/>
        <charset val="204"/>
      </rPr>
      <t xml:space="preserve"> "Газификация лыжной базы МАУ КГО "Спортивная школа", расположенной по адресу: г.Кушва, ул.Суворова,32, всего, из них</t>
    </r>
  </si>
  <si>
    <r>
      <t xml:space="preserve">Мероприятие 40            </t>
    </r>
    <r>
      <rPr>
        <sz val="11"/>
        <color indexed="8"/>
        <rFont val="Liberation Serif"/>
        <family val="1"/>
        <charset val="204"/>
      </rPr>
      <t>"</t>
    </r>
    <r>
      <rPr>
        <sz val="11"/>
        <rFont val="Liberation Serif"/>
        <family val="1"/>
        <charset val="204"/>
      </rPr>
      <t>Реализация проекта инициативного бюджетирования "Вместе  за здоровьем"</t>
    </r>
  </si>
  <si>
    <r>
      <t>Мероприятие 41</t>
    </r>
    <r>
      <rPr>
        <sz val="11"/>
        <rFont val="Liberation Serif"/>
        <family val="1"/>
        <charset val="204"/>
      </rPr>
      <t xml:space="preserve"> "Приобретение спортивного оборудования", всего, из них</t>
    </r>
  </si>
  <si>
    <r>
      <t>Мероприятие 42</t>
    </r>
    <r>
      <rPr>
        <sz val="11"/>
        <rFont val="Liberation Serif"/>
        <family val="1"/>
        <charset val="204"/>
      </rPr>
      <t xml:space="preserve"> "Обеспечение деятельности органов местного самоуправления (органов местной администрации) (центральный аппарат)", всего, из них</t>
    </r>
  </si>
  <si>
    <r>
      <t xml:space="preserve">Мероприятие 43 </t>
    </r>
    <r>
      <rPr>
        <sz val="11"/>
        <rFont val="Liberation Serif"/>
        <family val="1"/>
        <charset val="204"/>
      </rPr>
      <t>"Обеспечение деятельности органов местного самоуправления (органов местной администрации) (центральный аппарат) (обеспечение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Федерации)  ", всего, из них</t>
    </r>
  </si>
  <si>
    <r>
      <t xml:space="preserve">Мероприятие 44 </t>
    </r>
    <r>
      <rPr>
        <sz val="11"/>
        <rFont val="Liberation Serif"/>
        <family val="1"/>
        <charset val="204"/>
      </rPr>
      <t>"Техническое, методическое, правовое сопровождение, ведение бухгалтерского, налогового, статистического, бюджетного учета для обеспечения деятельности муниципальных учреждений и органа местного самоуправления (органа местной администрации) в сфере физической культуры и спорта", всего, из них</t>
    </r>
  </si>
  <si>
    <r>
      <t xml:space="preserve">Мероприятие 46 </t>
    </r>
    <r>
      <rPr>
        <sz val="11"/>
        <rFont val="Liberation Serif"/>
        <family val="1"/>
        <charset val="204"/>
      </rPr>
      <t>"Комплексное благоустройство общественной территории на земельном участке, расположенном по адресу: Свердловская область, г. Кушва, улица Строителей - улица Луначарского (разрешенное использование для размещения парка), всего, из них</t>
    </r>
  </si>
  <si>
    <r>
      <t xml:space="preserve">Мероприятие 47 </t>
    </r>
    <r>
      <rPr>
        <sz val="11"/>
        <color indexed="8"/>
        <rFont val="Liberation Serif"/>
        <family val="1"/>
        <charset val="204"/>
      </rPr>
      <t>"Организация и проведение физкультурных и просветительских мероприятий по вовлечению населения различных возрастных и социальных групп, в занятия плаванием", всего, из них</t>
    </r>
  </si>
  <si>
    <r>
      <t xml:space="preserve">Мероприятие  25                       </t>
    </r>
    <r>
      <rPr>
        <sz val="11"/>
        <color rgb="FF0070C0"/>
        <rFont val="Liberation Serif"/>
        <family val="1"/>
        <charset val="204"/>
      </rPr>
      <t>"Государственная поддержка муниципальных организаций, реализующих дополнительные образовательные программы спортивной подготовки", всего, из них</t>
    </r>
  </si>
  <si>
    <r>
      <t xml:space="preserve">Мероприятие 45 </t>
    </r>
    <r>
      <rPr>
        <sz val="10.5"/>
        <rFont val="Liberation Serif"/>
        <family val="1"/>
        <charset val="204"/>
      </rPr>
      <t>"Техническое, методическое, правовое сопровождение, ведение бухгалтерского, налогового, статистического, бюджетного учета для обеспечения деятельности муниципальных учреждений и органа местного самоуправления (органа местной администрации) в сфере физической культуры и спорт (обеспечение фондов оплаты труда работников муниципальных учреждений, за исключением работников, заработная плата которых определяется в соответствии с указами Президента РФ) ", всего, из них</t>
    </r>
  </si>
  <si>
    <r>
      <t>Мероприятие 46</t>
    </r>
    <r>
      <rPr>
        <sz val="11"/>
        <rFont val="Liberation Serif"/>
        <family val="1"/>
        <charset val="204"/>
      </rPr>
      <t xml:space="preserve"> "Обеспечение реализации соглашений, заключенных со спортивными федерациями Свердловской области", всего, из них</t>
    </r>
  </si>
  <si>
    <t>5.5.2.5.</t>
  </si>
  <si>
    <t>к постановлению администрации Кушвинского муниципального округа</t>
  </si>
  <si>
    <t>к муниципальной программе Кушвинского муниципального округа</t>
  </si>
  <si>
    <t>"Развитие физической культуры и спорта Кушвинского муниципального</t>
  </si>
  <si>
    <t>по выполнению муниципальной программы Кушвинского муниципального округа "Развитие физической культуры и спорта в Кушвинском муниципальном округе до 2030 года"</t>
  </si>
  <si>
    <t>ПОДПРОГРАММА 1 «Развитие физической культуры и спорта в Кушвинском муниципальном округе»</t>
  </si>
  <si>
    <r>
      <t xml:space="preserve">Мероприятие 17 </t>
    </r>
    <r>
      <rPr>
        <sz val="11"/>
        <rFont val="Liberation Serif"/>
        <family val="1"/>
        <charset val="204"/>
      </rPr>
      <t xml:space="preserve">Капитальный ремонт стадиона муниципального автономного учреждения дополнительного образования Кушвинского муниципального округа «Спортивная школа «Синегорец» Свердловская область, г.Кушва, пос. Баранчинский, ул. Коммуны д.18., всего  
из них: </t>
    </r>
  </si>
  <si>
    <r>
      <t xml:space="preserve">Мероприятие 18 </t>
    </r>
    <r>
      <rPr>
        <sz val="11"/>
        <rFont val="Liberation Serif"/>
        <family val="1"/>
        <charset val="204"/>
      </rPr>
      <t xml:space="preserve">Капитальный ремонт стадиона муниципального автономного учреждения Кушвинского муниципального округа "Центр по физической культуре, спорту и туризму «Горняк» Свердловская область, г. Кушва, ул. Луначарского д. 9, всего  
из них: </t>
    </r>
  </si>
  <si>
    <t>ПОДПРОГРАММА 3 «Развитие инфраструктуры объектов спорта муниципальной собственности Кушвинского муниципального округа»</t>
  </si>
  <si>
    <t>ПОДПРОГРАММА 4 «Патриотическое воспитание молодых граждан в Кушвинском муниципальном округе»</t>
  </si>
  <si>
    <t xml:space="preserve">ПОДПРОГРАММА 5 «Обеспечение реализации муниципальной программы Кушвинского муниципального округа «Развитие физической культуры и спорта в Кушвинском муниципальном округе до 2030 года» </t>
  </si>
  <si>
    <t>ПОДПРОГРАММА 6 «Реализация муниципальной программы "Формирование современной городской среды на территории Кушвинского муниципального округа на 2018-2030 годы»"</t>
  </si>
  <si>
    <t>ПОДПРОГРАММА 2 «Развитие образования в сфере физической культуры и спорта в Кушвинском муниципальном округе»</t>
  </si>
  <si>
    <t>Приложение № 1</t>
  </si>
  <si>
    <r>
      <t>Мероприятие 20</t>
    </r>
    <r>
      <rPr>
        <sz val="11"/>
        <rFont val="Liberation Serif"/>
        <family val="1"/>
        <charset val="204"/>
      </rPr>
      <t xml:space="preserve"> "Развитие детского настольного тенниса в Кушвинском муниципальном округе (муниципального автономного учреждения дополнительного образования Кушвинского муниципального округа "Спортивная школа "Синегорец", всего, из них</t>
    </r>
  </si>
  <si>
    <r>
      <t xml:space="preserve">Мероприятие 8   </t>
    </r>
    <r>
      <rPr>
        <sz val="11"/>
        <rFont val="Liberation Serif"/>
        <family val="1"/>
        <charset val="204"/>
      </rPr>
      <t xml:space="preserve"> "Проведение капитального и текущего ремонта зданий, помещений, спортивных объектов муниципальных учреждений "всего, из них</t>
    </r>
  </si>
  <si>
    <t>№ п/п</t>
  </si>
  <si>
    <t>от 28.02.2025 № 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</si>
</sst>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11"/>
      <color indexed="8"/>
      <name val="Liberation Serif"/>
      <family val="1"/>
      <charset val="204"/>
    </font>
    <font>
      <b/>
      <sz val="10.5"/>
      <name val="Liberation Serif"/>
      <family val="1"/>
      <charset val="204"/>
    </font>
    <font>
      <sz val="10.5"/>
      <name val="Liberation Serif"/>
      <family val="1"/>
      <charset val="204"/>
    </font>
    <font>
      <b/>
      <sz val="11"/>
      <color rgb="FF0070C0"/>
      <name val="Liberation Serif"/>
      <family val="1"/>
      <charset val="204"/>
    </font>
    <font>
      <sz val="11"/>
      <color rgb="FF0070C0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wrapText="1"/>
    </xf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4" fontId="1" fillId="2" borderId="0" xfId="0" applyNumberFormat="1" applyFont="1" applyFill="1" applyAlignment="1">
      <alignment wrapText="1"/>
    </xf>
    <xf numFmtId="4" fontId="1" fillId="2" borderId="1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4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" fontId="7" fillId="3" borderId="1" xfId="0" applyNumberFormat="1" applyFont="1" applyFill="1" applyBorder="1" applyAlignment="1">
      <alignment wrapText="1"/>
    </xf>
    <xf numFmtId="0" fontId="7" fillId="3" borderId="1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3" fontId="7" fillId="3" borderId="1" xfId="0" applyNumberFormat="1" applyFont="1" applyFill="1" applyBorder="1" applyAlignment="1">
      <alignment horizontal="center" wrapText="1"/>
    </xf>
    <xf numFmtId="1" fontId="7" fillId="3" borderId="1" xfId="0" applyNumberFormat="1" applyFont="1" applyFill="1" applyBorder="1" applyAlignment="1">
      <alignment horizontal="center" wrapText="1"/>
    </xf>
    <xf numFmtId="4" fontId="7" fillId="3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wrapText="1"/>
    </xf>
    <xf numFmtId="4" fontId="7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wrapText="1"/>
    </xf>
    <xf numFmtId="4" fontId="14" fillId="3" borderId="1" xfId="0" applyNumberFormat="1" applyFont="1" applyFill="1" applyBorder="1" applyAlignment="1">
      <alignment horizontal="center" wrapText="1"/>
    </xf>
    <xf numFmtId="4" fontId="7" fillId="3" borderId="3" xfId="0" applyNumberFormat="1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/>
    </xf>
    <xf numFmtId="0" fontId="1" fillId="4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5" fillId="2" borderId="4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4" fontId="7" fillId="2" borderId="1" xfId="0" applyNumberFormat="1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13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vertical="top" wrapText="1"/>
    </xf>
    <xf numFmtId="4" fontId="11" fillId="3" borderId="1" xfId="0" applyNumberFormat="1" applyFont="1" applyFill="1" applyBorder="1" applyAlignment="1">
      <alignment wrapText="1"/>
    </xf>
    <xf numFmtId="4" fontId="10" fillId="3" borderId="1" xfId="0" applyNumberFormat="1" applyFont="1" applyFill="1" applyBorder="1" applyAlignment="1">
      <alignment wrapText="1"/>
    </xf>
    <xf numFmtId="0" fontId="1" fillId="4" borderId="0" xfId="0" applyFont="1" applyFill="1" applyAlignment="1">
      <alignment wrapText="1"/>
    </xf>
    <xf numFmtId="0" fontId="5" fillId="2" borderId="0" xfId="0" applyFont="1" applyFill="1" applyAlignment="1">
      <alignment horizontal="left" vertical="top" wrapText="1"/>
    </xf>
    <xf numFmtId="4" fontId="7" fillId="3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99"/>
  <sheetViews>
    <sheetView tabSelected="1" topLeftCell="A353" zoomScale="70" zoomScaleNormal="70" zoomScaleSheetLayoutView="100" workbookViewId="0">
      <selection sqref="A1:T355"/>
    </sheetView>
  </sheetViews>
  <sheetFormatPr defaultRowHeight="15.75" x14ac:dyDescent="0.25"/>
  <cols>
    <col min="1" max="1" width="4.85546875" style="1" customWidth="1"/>
    <col min="2" max="2" width="21" style="1" customWidth="1"/>
    <col min="3" max="3" width="15.42578125" style="1" customWidth="1"/>
    <col min="4" max="4" width="13.5703125" style="1" customWidth="1"/>
    <col min="5" max="5" width="13.42578125" style="1" customWidth="1"/>
    <col min="6" max="6" width="15.140625" style="1" customWidth="1"/>
    <col min="7" max="7" width="13.5703125" style="1" customWidth="1"/>
    <col min="8" max="9" width="13.85546875" style="1" customWidth="1"/>
    <col min="10" max="11" width="13.5703125" style="1" customWidth="1"/>
    <col min="12" max="13" width="14.140625" style="1" customWidth="1"/>
    <col min="14" max="14" width="13.42578125" style="1" customWidth="1"/>
    <col min="15" max="15" width="13.7109375" style="1" customWidth="1"/>
    <col min="16" max="16" width="14.140625" style="1" customWidth="1"/>
    <col min="17" max="17" width="14.28515625" style="1" customWidth="1"/>
    <col min="18" max="18" width="15.140625" style="1" customWidth="1"/>
    <col min="19" max="19" width="14" style="1" customWidth="1"/>
    <col min="20" max="20" width="19.85546875" style="1" customWidth="1"/>
    <col min="21" max="27" width="9.140625" style="1"/>
    <col min="28" max="16384" width="9.140625" style="2"/>
  </cols>
  <sheetData>
    <row r="1" spans="1:20" ht="30" customHeight="1" x14ac:dyDescent="0.25">
      <c r="P1" s="45" t="s">
        <v>141</v>
      </c>
      <c r="Q1" s="45"/>
      <c r="R1" s="45"/>
      <c r="S1" s="45"/>
      <c r="T1" s="45"/>
    </row>
    <row r="2" spans="1:20" ht="21.75" customHeight="1" x14ac:dyDescent="0.25">
      <c r="N2" s="9"/>
      <c r="O2" s="9"/>
      <c r="P2" s="46" t="s">
        <v>129</v>
      </c>
      <c r="Q2" s="46"/>
      <c r="R2" s="46"/>
      <c r="S2" s="46"/>
      <c r="T2" s="46"/>
    </row>
    <row r="3" spans="1:20" ht="21.75" customHeight="1" x14ac:dyDescent="0.25">
      <c r="H3" s="3"/>
      <c r="I3" s="3"/>
      <c r="J3" s="3"/>
      <c r="K3" s="4"/>
      <c r="L3" s="4"/>
      <c r="M3" s="4"/>
      <c r="N3" s="9"/>
      <c r="O3" s="9"/>
      <c r="P3" s="40" t="s">
        <v>145</v>
      </c>
      <c r="Q3" s="40"/>
      <c r="R3" s="40"/>
      <c r="S3" s="40"/>
      <c r="T3" s="40"/>
    </row>
    <row r="4" spans="1:20" ht="26.25" customHeight="1" x14ac:dyDescent="0.25">
      <c r="H4" s="3"/>
      <c r="I4" s="3"/>
      <c r="J4" s="3"/>
      <c r="K4" s="4"/>
      <c r="L4" s="4"/>
      <c r="M4" s="4"/>
      <c r="N4" s="9"/>
      <c r="O4" s="9"/>
      <c r="P4" s="47"/>
      <c r="Q4" s="47"/>
      <c r="R4" s="47"/>
      <c r="S4" s="47"/>
      <c r="T4" s="47"/>
    </row>
    <row r="5" spans="1:20" ht="19.5" customHeight="1" x14ac:dyDescent="0.25">
      <c r="H5" s="3"/>
      <c r="I5" s="3"/>
      <c r="J5" s="3"/>
      <c r="K5" s="4"/>
      <c r="L5" s="4"/>
      <c r="M5" s="4"/>
      <c r="N5" s="9"/>
      <c r="O5" s="9"/>
      <c r="P5" s="40" t="s">
        <v>81</v>
      </c>
      <c r="Q5" s="40"/>
      <c r="R5" s="40"/>
      <c r="S5" s="40"/>
      <c r="T5" s="40"/>
    </row>
    <row r="6" spans="1:20" ht="17.25" customHeight="1" x14ac:dyDescent="0.25">
      <c r="H6" s="3"/>
      <c r="I6" s="3"/>
      <c r="J6" s="3"/>
      <c r="K6" s="4"/>
      <c r="L6" s="4"/>
      <c r="M6" s="4"/>
      <c r="N6" s="9"/>
      <c r="O6" s="9"/>
      <c r="P6" s="40" t="s">
        <v>130</v>
      </c>
      <c r="Q6" s="40"/>
      <c r="R6" s="40"/>
      <c r="S6" s="40"/>
      <c r="T6" s="40"/>
    </row>
    <row r="7" spans="1:20" ht="15.75" customHeight="1" x14ac:dyDescent="0.25">
      <c r="H7" s="3"/>
      <c r="I7" s="3"/>
      <c r="J7" s="3"/>
      <c r="K7" s="5"/>
      <c r="L7" s="5"/>
      <c r="M7" s="5"/>
      <c r="N7" s="9"/>
      <c r="O7" s="9"/>
      <c r="P7" s="40" t="s">
        <v>131</v>
      </c>
      <c r="Q7" s="40"/>
      <c r="R7" s="40"/>
      <c r="S7" s="40"/>
      <c r="T7" s="40"/>
    </row>
    <row r="8" spans="1:20" ht="25.5" customHeight="1" x14ac:dyDescent="0.25">
      <c r="H8" s="3"/>
      <c r="I8" s="3"/>
      <c r="J8" s="3"/>
      <c r="K8" s="5"/>
      <c r="L8" s="5"/>
      <c r="M8" s="5"/>
      <c r="N8" s="9"/>
      <c r="O8" s="9"/>
      <c r="P8" s="40" t="s">
        <v>82</v>
      </c>
      <c r="Q8" s="40"/>
      <c r="R8" s="40"/>
      <c r="S8" s="40"/>
      <c r="T8" s="40"/>
    </row>
    <row r="9" spans="1:20" ht="25.5" customHeight="1" x14ac:dyDescent="0.25">
      <c r="H9" s="3"/>
      <c r="I9" s="3"/>
      <c r="J9" s="3"/>
      <c r="K9" s="5"/>
      <c r="L9" s="5"/>
      <c r="M9" s="5"/>
      <c r="N9" s="9"/>
      <c r="O9" s="9"/>
      <c r="P9" s="10"/>
      <c r="Q9" s="10"/>
      <c r="R9" s="10"/>
      <c r="S9" s="10"/>
      <c r="T9" s="10"/>
    </row>
    <row r="10" spans="1:20" ht="30.6" customHeight="1" x14ac:dyDescent="0.25">
      <c r="A10" s="42" t="s">
        <v>80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</row>
    <row r="11" spans="1:20" ht="24" customHeight="1" x14ac:dyDescent="0.25">
      <c r="A11" s="42" t="s">
        <v>132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</row>
    <row r="12" spans="1:20" ht="24" customHeight="1" x14ac:dyDescent="0.25">
      <c r="A12" s="11"/>
      <c r="B12" s="29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</row>
    <row r="13" spans="1:20" ht="44.25" customHeight="1" x14ac:dyDescent="0.25">
      <c r="A13" s="43" t="s">
        <v>144</v>
      </c>
      <c r="B13" s="44" t="s">
        <v>0</v>
      </c>
      <c r="C13" s="43" t="s">
        <v>1</v>
      </c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 t="s">
        <v>2</v>
      </c>
    </row>
    <row r="14" spans="1:20" ht="75" customHeight="1" x14ac:dyDescent="0.25">
      <c r="A14" s="43"/>
      <c r="B14" s="44"/>
      <c r="C14" s="12" t="s">
        <v>3</v>
      </c>
      <c r="D14" s="12" t="s">
        <v>4</v>
      </c>
      <c r="E14" s="12" t="s">
        <v>5</v>
      </c>
      <c r="F14" s="12" t="s">
        <v>6</v>
      </c>
      <c r="G14" s="12" t="s">
        <v>7</v>
      </c>
      <c r="H14" s="12" t="s">
        <v>8</v>
      </c>
      <c r="I14" s="12" t="s">
        <v>9</v>
      </c>
      <c r="J14" s="12" t="s">
        <v>10</v>
      </c>
      <c r="K14" s="12" t="s">
        <v>11</v>
      </c>
      <c r="L14" s="12" t="s">
        <v>12</v>
      </c>
      <c r="M14" s="12" t="s">
        <v>13</v>
      </c>
      <c r="N14" s="12" t="s">
        <v>14</v>
      </c>
      <c r="O14" s="12" t="s">
        <v>15</v>
      </c>
      <c r="P14" s="12" t="s">
        <v>16</v>
      </c>
      <c r="Q14" s="12" t="s">
        <v>17</v>
      </c>
      <c r="R14" s="12" t="s">
        <v>18</v>
      </c>
      <c r="S14" s="12" t="s">
        <v>19</v>
      </c>
      <c r="T14" s="43"/>
    </row>
    <row r="15" spans="1:20" x14ac:dyDescent="0.25">
      <c r="A15" s="13">
        <v>1</v>
      </c>
      <c r="B15" s="30">
        <v>2</v>
      </c>
      <c r="C15" s="13">
        <v>3</v>
      </c>
      <c r="D15" s="13">
        <v>4</v>
      </c>
      <c r="E15" s="13">
        <v>5</v>
      </c>
      <c r="F15" s="13">
        <v>6</v>
      </c>
      <c r="G15" s="13">
        <v>7</v>
      </c>
      <c r="H15" s="13">
        <v>8</v>
      </c>
      <c r="I15" s="13">
        <v>9</v>
      </c>
      <c r="J15" s="13">
        <v>10</v>
      </c>
      <c r="K15" s="13">
        <v>11</v>
      </c>
      <c r="L15" s="13">
        <v>12</v>
      </c>
      <c r="M15" s="13">
        <v>13</v>
      </c>
      <c r="N15" s="13">
        <v>14</v>
      </c>
      <c r="O15" s="13">
        <v>15</v>
      </c>
      <c r="P15" s="13">
        <v>16</v>
      </c>
      <c r="Q15" s="13">
        <v>17</v>
      </c>
      <c r="R15" s="13">
        <v>18</v>
      </c>
      <c r="S15" s="13">
        <v>19</v>
      </c>
      <c r="T15" s="13">
        <v>10</v>
      </c>
    </row>
    <row r="16" spans="1:20" ht="73.5" customHeight="1" x14ac:dyDescent="0.25">
      <c r="A16" s="13">
        <v>1</v>
      </c>
      <c r="B16" s="31" t="s">
        <v>20</v>
      </c>
      <c r="C16" s="20">
        <f t="shared" ref="C16:C24" si="0">SUM(D16:S16)</f>
        <v>1811255555.2700002</v>
      </c>
      <c r="D16" s="20">
        <f t="shared" ref="D16:S16" si="1">D18+D19+D20</f>
        <v>45392348.600000001</v>
      </c>
      <c r="E16" s="20">
        <f t="shared" si="1"/>
        <v>72259486.219999999</v>
      </c>
      <c r="F16" s="20">
        <f t="shared" si="1"/>
        <v>184045461.55999997</v>
      </c>
      <c r="G16" s="20">
        <f t="shared" si="1"/>
        <v>78948113.140000001</v>
      </c>
      <c r="H16" s="20">
        <f t="shared" si="1"/>
        <v>100747380.09</v>
      </c>
      <c r="I16" s="20">
        <f t="shared" si="1"/>
        <v>105911106.56</v>
      </c>
      <c r="J16" s="20">
        <f t="shared" si="1"/>
        <v>112585199.73</v>
      </c>
      <c r="K16" s="20">
        <f t="shared" si="1"/>
        <v>105624231.13999999</v>
      </c>
      <c r="L16" s="20">
        <f t="shared" si="1"/>
        <v>124534714.37000002</v>
      </c>
      <c r="M16" s="20">
        <f t="shared" si="1"/>
        <v>160523816.81</v>
      </c>
      <c r="N16" s="20">
        <f t="shared" si="1"/>
        <v>158685751.05000001</v>
      </c>
      <c r="O16" s="20">
        <f t="shared" si="1"/>
        <v>140455389.20000002</v>
      </c>
      <c r="P16" s="20">
        <f t="shared" si="1"/>
        <v>105455389.20000002</v>
      </c>
      <c r="Q16" s="20">
        <f t="shared" si="1"/>
        <v>105362389.20000002</v>
      </c>
      <c r="R16" s="20">
        <f t="shared" si="1"/>
        <v>105362389.20000002</v>
      </c>
      <c r="S16" s="20">
        <f t="shared" si="1"/>
        <v>105362389.20000002</v>
      </c>
      <c r="T16" s="20"/>
    </row>
    <row r="17" spans="1:26" x14ac:dyDescent="0.25">
      <c r="A17" s="13">
        <v>2</v>
      </c>
      <c r="B17" s="14" t="s">
        <v>21</v>
      </c>
      <c r="C17" s="19">
        <f t="shared" si="0"/>
        <v>0</v>
      </c>
      <c r="D17" s="19">
        <v>0</v>
      </c>
      <c r="E17" s="19">
        <v>0</v>
      </c>
      <c r="F17" s="19">
        <v>0</v>
      </c>
      <c r="G17" s="19">
        <v>0</v>
      </c>
      <c r="H17" s="19">
        <f t="shared" ref="H17:S17" si="2">H32</f>
        <v>0</v>
      </c>
      <c r="I17" s="19">
        <f t="shared" si="2"/>
        <v>0</v>
      </c>
      <c r="J17" s="19">
        <f t="shared" si="2"/>
        <v>0</v>
      </c>
      <c r="K17" s="19">
        <f t="shared" si="2"/>
        <v>0</v>
      </c>
      <c r="L17" s="19">
        <f t="shared" si="2"/>
        <v>0</v>
      </c>
      <c r="M17" s="19">
        <f t="shared" si="2"/>
        <v>0</v>
      </c>
      <c r="N17" s="19">
        <f t="shared" si="2"/>
        <v>0</v>
      </c>
      <c r="O17" s="19">
        <f t="shared" si="2"/>
        <v>0</v>
      </c>
      <c r="P17" s="19">
        <f t="shared" si="2"/>
        <v>0</v>
      </c>
      <c r="Q17" s="19">
        <f t="shared" si="2"/>
        <v>0</v>
      </c>
      <c r="R17" s="19">
        <f t="shared" si="2"/>
        <v>0</v>
      </c>
      <c r="S17" s="19">
        <f t="shared" si="2"/>
        <v>0</v>
      </c>
      <c r="T17" s="19"/>
    </row>
    <row r="18" spans="1:26" x14ac:dyDescent="0.25">
      <c r="A18" s="13">
        <v>3</v>
      </c>
      <c r="B18" s="14" t="s">
        <v>22</v>
      </c>
      <c r="C18" s="19">
        <f t="shared" si="0"/>
        <v>154670338.02000001</v>
      </c>
      <c r="D18" s="19">
        <f>D33+D136+D188+D237</f>
        <v>34100</v>
      </c>
      <c r="E18" s="19">
        <f>E33+E136+E188+E237</f>
        <v>20064000</v>
      </c>
      <c r="F18" s="19">
        <f>F33+F136+F188+F237</f>
        <v>121911200</v>
      </c>
      <c r="G18" s="19">
        <f>G33+G136+G188+G237+G261+G300</f>
        <v>3842498.93</v>
      </c>
      <c r="H18" s="19">
        <f>H33+H136+H188+H237+H261</f>
        <v>356880</v>
      </c>
      <c r="I18" s="19">
        <f>I33+I136+I188+I237</f>
        <v>125200</v>
      </c>
      <c r="J18" s="19">
        <f>J33+J136+J188+J237</f>
        <v>290900</v>
      </c>
      <c r="K18" s="19">
        <f t="shared" ref="K18:S18" si="3">K33+K136+K188+K237+K261</f>
        <v>1782014.06</v>
      </c>
      <c r="L18" s="19">
        <f t="shared" si="3"/>
        <v>1092014.3599999999</v>
      </c>
      <c r="M18" s="19">
        <f t="shared" si="3"/>
        <v>4182530.67</v>
      </c>
      <c r="N18" s="19">
        <f t="shared" si="3"/>
        <v>989000</v>
      </c>
      <c r="O18" s="19">
        <f t="shared" si="3"/>
        <v>0</v>
      </c>
      <c r="P18" s="19">
        <f t="shared" si="3"/>
        <v>0</v>
      </c>
      <c r="Q18" s="19">
        <f t="shared" si="3"/>
        <v>0</v>
      </c>
      <c r="R18" s="19">
        <f t="shared" si="3"/>
        <v>0</v>
      </c>
      <c r="S18" s="19">
        <f t="shared" si="3"/>
        <v>0</v>
      </c>
      <c r="T18" s="19"/>
    </row>
    <row r="19" spans="1:26" x14ac:dyDescent="0.25">
      <c r="A19" s="13">
        <v>4</v>
      </c>
      <c r="B19" s="14" t="s">
        <v>23</v>
      </c>
      <c r="C19" s="19">
        <f t="shared" si="0"/>
        <v>1468136846.9499998</v>
      </c>
      <c r="D19" s="19">
        <f t="shared" ref="D19:F20" si="4">D34+D137+D189+D238+D262</f>
        <v>43133248.600000001</v>
      </c>
      <c r="E19" s="19">
        <f t="shared" si="4"/>
        <v>49424663.010000005</v>
      </c>
      <c r="F19" s="19">
        <f t="shared" si="4"/>
        <v>59694733.049999982</v>
      </c>
      <c r="G19" s="19">
        <f>G34+G137+G189+G238+G262+G301</f>
        <v>65525081.479999997</v>
      </c>
      <c r="H19" s="19">
        <f t="shared" ref="H19:S19" si="5">H34+H137+H189+H238+H262+H301</f>
        <v>85395551.870000005</v>
      </c>
      <c r="I19" s="19">
        <f t="shared" si="5"/>
        <v>94041129.710000008</v>
      </c>
      <c r="J19" s="19">
        <f t="shared" si="5"/>
        <v>102558842.98</v>
      </c>
      <c r="K19" s="19">
        <f t="shared" si="5"/>
        <v>93522550.419999987</v>
      </c>
      <c r="L19" s="19">
        <f t="shared" si="5"/>
        <v>107558916.76000002</v>
      </c>
      <c r="M19" s="19">
        <f t="shared" si="5"/>
        <v>134077311.11000001</v>
      </c>
      <c r="N19" s="19">
        <f t="shared" si="5"/>
        <v>142070775.21000001</v>
      </c>
      <c r="O19" s="19">
        <f t="shared" si="5"/>
        <v>126226808.55000001</v>
      </c>
      <c r="P19" s="19">
        <f t="shared" si="5"/>
        <v>91226808.550000012</v>
      </c>
      <c r="Q19" s="19">
        <f t="shared" si="5"/>
        <v>91226808.550000012</v>
      </c>
      <c r="R19" s="19">
        <f t="shared" si="5"/>
        <v>91226808.550000012</v>
      </c>
      <c r="S19" s="19">
        <f t="shared" si="5"/>
        <v>91226808.550000012</v>
      </c>
      <c r="T19" s="19"/>
    </row>
    <row r="20" spans="1:26" ht="29.25" x14ac:dyDescent="0.25">
      <c r="A20" s="13">
        <v>5</v>
      </c>
      <c r="B20" s="14" t="s">
        <v>24</v>
      </c>
      <c r="C20" s="19">
        <f t="shared" si="0"/>
        <v>188448370.30000004</v>
      </c>
      <c r="D20" s="19">
        <f t="shared" si="4"/>
        <v>2225000</v>
      </c>
      <c r="E20" s="19">
        <f t="shared" si="4"/>
        <v>2770823.21</v>
      </c>
      <c r="F20" s="19">
        <f t="shared" si="4"/>
        <v>2439528.5100000002</v>
      </c>
      <c r="G20" s="19">
        <f>G35+G138+G190+G239+G263+G302</f>
        <v>9580532.7300000004</v>
      </c>
      <c r="H20" s="19">
        <f t="shared" ref="H20:S20" si="6">H35+H138+H190+H239+H263+H302</f>
        <v>14994948.219999999</v>
      </c>
      <c r="I20" s="19">
        <f t="shared" si="6"/>
        <v>11744776.85</v>
      </c>
      <c r="J20" s="19">
        <f t="shared" si="6"/>
        <v>9735456.75</v>
      </c>
      <c r="K20" s="19">
        <f t="shared" si="6"/>
        <v>10319666.66</v>
      </c>
      <c r="L20" s="19">
        <f t="shared" si="6"/>
        <v>15883783.25</v>
      </c>
      <c r="M20" s="19">
        <f t="shared" si="6"/>
        <v>22263975.029999997</v>
      </c>
      <c r="N20" s="19">
        <f t="shared" si="6"/>
        <v>15625975.84</v>
      </c>
      <c r="O20" s="19">
        <f t="shared" si="6"/>
        <v>14228580.65</v>
      </c>
      <c r="P20" s="19">
        <f t="shared" si="6"/>
        <v>14228580.65</v>
      </c>
      <c r="Q20" s="19">
        <f t="shared" si="6"/>
        <v>14135580.65</v>
      </c>
      <c r="R20" s="19">
        <f t="shared" si="6"/>
        <v>14135580.65</v>
      </c>
      <c r="S20" s="19">
        <f t="shared" si="6"/>
        <v>14135580.65</v>
      </c>
      <c r="T20" s="19"/>
    </row>
    <row r="21" spans="1:26" ht="28.5" customHeight="1" x14ac:dyDescent="0.25">
      <c r="A21" s="13">
        <v>6</v>
      </c>
      <c r="B21" s="14" t="s">
        <v>25</v>
      </c>
      <c r="C21" s="19">
        <f t="shared" si="0"/>
        <v>174583744.80999997</v>
      </c>
      <c r="D21" s="19">
        <f t="shared" ref="D21:F24" si="7">D37+D192+D241</f>
        <v>0</v>
      </c>
      <c r="E21" s="19">
        <f t="shared" si="7"/>
        <v>22321300</v>
      </c>
      <c r="F21" s="19">
        <f t="shared" si="7"/>
        <v>136473310.68999997</v>
      </c>
      <c r="G21" s="19">
        <f>G37+G192+G241+G304</f>
        <v>100722.42</v>
      </c>
      <c r="H21" s="19">
        <f>SUM(H22:H24)</f>
        <v>0</v>
      </c>
      <c r="I21" s="19">
        <f t="shared" ref="I21:S21" si="8">I37+I192+I241+I304</f>
        <v>1804739.8</v>
      </c>
      <c r="J21" s="19">
        <f t="shared" si="8"/>
        <v>10533671.9</v>
      </c>
      <c r="K21" s="19">
        <f t="shared" si="8"/>
        <v>0</v>
      </c>
      <c r="L21" s="19">
        <f t="shared" si="8"/>
        <v>0</v>
      </c>
      <c r="M21" s="19">
        <f t="shared" si="8"/>
        <v>3350000</v>
      </c>
      <c r="N21" s="19">
        <f t="shared" si="8"/>
        <v>0</v>
      </c>
      <c r="O21" s="19">
        <f t="shared" si="8"/>
        <v>0</v>
      </c>
      <c r="P21" s="19">
        <f t="shared" si="8"/>
        <v>0</v>
      </c>
      <c r="Q21" s="19">
        <f t="shared" si="8"/>
        <v>0</v>
      </c>
      <c r="R21" s="19">
        <f t="shared" si="8"/>
        <v>0</v>
      </c>
      <c r="S21" s="19">
        <f t="shared" si="8"/>
        <v>0</v>
      </c>
      <c r="T21" s="19"/>
    </row>
    <row r="22" spans="1:26" x14ac:dyDescent="0.25">
      <c r="A22" s="13">
        <v>7</v>
      </c>
      <c r="B22" s="14" t="s">
        <v>22</v>
      </c>
      <c r="C22" s="19">
        <f t="shared" si="0"/>
        <v>141524900</v>
      </c>
      <c r="D22" s="19">
        <f t="shared" si="7"/>
        <v>0</v>
      </c>
      <c r="E22" s="19">
        <f t="shared" si="7"/>
        <v>20000000</v>
      </c>
      <c r="F22" s="19">
        <f t="shared" si="7"/>
        <v>121524900</v>
      </c>
      <c r="G22" s="19">
        <f t="shared" ref="G22:S22" si="9">G38+G193+G242</f>
        <v>0</v>
      </c>
      <c r="H22" s="19">
        <f t="shared" si="9"/>
        <v>0</v>
      </c>
      <c r="I22" s="19">
        <f t="shared" si="9"/>
        <v>0</v>
      </c>
      <c r="J22" s="19">
        <f t="shared" si="9"/>
        <v>0</v>
      </c>
      <c r="K22" s="19">
        <f t="shared" si="9"/>
        <v>0</v>
      </c>
      <c r="L22" s="19">
        <f t="shared" si="9"/>
        <v>0</v>
      </c>
      <c r="M22" s="19">
        <f t="shared" si="9"/>
        <v>0</v>
      </c>
      <c r="N22" s="19">
        <f t="shared" si="9"/>
        <v>0</v>
      </c>
      <c r="O22" s="19">
        <f t="shared" si="9"/>
        <v>0</v>
      </c>
      <c r="P22" s="19">
        <f t="shared" si="9"/>
        <v>0</v>
      </c>
      <c r="Q22" s="19">
        <f t="shared" si="9"/>
        <v>0</v>
      </c>
      <c r="R22" s="19">
        <f t="shared" si="9"/>
        <v>0</v>
      </c>
      <c r="S22" s="19">
        <f t="shared" si="9"/>
        <v>0</v>
      </c>
      <c r="T22" s="19"/>
    </row>
    <row r="23" spans="1:26" x14ac:dyDescent="0.25">
      <c r="A23" s="13">
        <v>8</v>
      </c>
      <c r="B23" s="14" t="s">
        <v>23</v>
      </c>
      <c r="C23" s="19">
        <f t="shared" si="0"/>
        <v>29512480.409999982</v>
      </c>
      <c r="D23" s="19">
        <f t="shared" si="7"/>
        <v>0</v>
      </c>
      <c r="E23" s="19">
        <f t="shared" si="7"/>
        <v>2321300</v>
      </c>
      <c r="F23" s="19">
        <f t="shared" si="7"/>
        <v>14948410.689999981</v>
      </c>
      <c r="G23" s="19">
        <f t="shared" ref="G23:S23" si="10">G39+G194+G243</f>
        <v>100722.42</v>
      </c>
      <c r="H23" s="19">
        <f t="shared" si="10"/>
        <v>0</v>
      </c>
      <c r="I23" s="19">
        <f t="shared" si="10"/>
        <v>1608375.4000000001</v>
      </c>
      <c r="J23" s="19">
        <f t="shared" si="10"/>
        <v>10533671.9</v>
      </c>
      <c r="K23" s="19">
        <f t="shared" si="10"/>
        <v>0</v>
      </c>
      <c r="L23" s="19">
        <f t="shared" si="10"/>
        <v>0</v>
      </c>
      <c r="M23" s="19">
        <f t="shared" si="10"/>
        <v>0</v>
      </c>
      <c r="N23" s="19">
        <f t="shared" si="10"/>
        <v>0</v>
      </c>
      <c r="O23" s="19">
        <f t="shared" si="10"/>
        <v>0</v>
      </c>
      <c r="P23" s="19">
        <f t="shared" si="10"/>
        <v>0</v>
      </c>
      <c r="Q23" s="19">
        <f t="shared" si="10"/>
        <v>0</v>
      </c>
      <c r="R23" s="19">
        <f t="shared" si="10"/>
        <v>0</v>
      </c>
      <c r="S23" s="19">
        <f t="shared" si="10"/>
        <v>0</v>
      </c>
      <c r="T23" s="19"/>
    </row>
    <row r="24" spans="1:26" ht="29.25" x14ac:dyDescent="0.25">
      <c r="A24" s="13">
        <v>9</v>
      </c>
      <c r="B24" s="14" t="s">
        <v>24</v>
      </c>
      <c r="C24" s="19">
        <f t="shared" si="0"/>
        <v>3546364.4</v>
      </c>
      <c r="D24" s="19">
        <f t="shared" si="7"/>
        <v>0</v>
      </c>
      <c r="E24" s="19">
        <f t="shared" si="7"/>
        <v>0</v>
      </c>
      <c r="F24" s="19">
        <f t="shared" si="7"/>
        <v>0</v>
      </c>
      <c r="G24" s="19">
        <f t="shared" ref="G24:S24" si="11">G40+G195+G244</f>
        <v>0</v>
      </c>
      <c r="H24" s="19">
        <f t="shared" si="11"/>
        <v>0</v>
      </c>
      <c r="I24" s="19">
        <f t="shared" si="11"/>
        <v>196364.4</v>
      </c>
      <c r="J24" s="19">
        <f t="shared" si="11"/>
        <v>0</v>
      </c>
      <c r="K24" s="19">
        <f t="shared" si="11"/>
        <v>0</v>
      </c>
      <c r="L24" s="19">
        <f t="shared" si="11"/>
        <v>0</v>
      </c>
      <c r="M24" s="19">
        <f t="shared" si="11"/>
        <v>3350000</v>
      </c>
      <c r="N24" s="19">
        <f t="shared" si="11"/>
        <v>0</v>
      </c>
      <c r="O24" s="19">
        <f t="shared" si="11"/>
        <v>0</v>
      </c>
      <c r="P24" s="19">
        <f t="shared" si="11"/>
        <v>0</v>
      </c>
      <c r="Q24" s="19">
        <f t="shared" si="11"/>
        <v>0</v>
      </c>
      <c r="R24" s="19">
        <f t="shared" si="11"/>
        <v>0</v>
      </c>
      <c r="S24" s="19">
        <f t="shared" si="11"/>
        <v>0</v>
      </c>
      <c r="T24" s="19"/>
    </row>
    <row r="25" spans="1:26" x14ac:dyDescent="0.25">
      <c r="A25" s="13">
        <v>10</v>
      </c>
      <c r="B25" s="14" t="s">
        <v>26</v>
      </c>
      <c r="C25" s="19">
        <f t="shared" ref="C25:S25" si="12">C16-C21</f>
        <v>1636671810.4600003</v>
      </c>
      <c r="D25" s="19">
        <f t="shared" si="12"/>
        <v>45392348.600000001</v>
      </c>
      <c r="E25" s="19">
        <f t="shared" si="12"/>
        <v>49938186.219999999</v>
      </c>
      <c r="F25" s="19">
        <f t="shared" si="12"/>
        <v>47572150.870000005</v>
      </c>
      <c r="G25" s="19">
        <f t="shared" si="12"/>
        <v>78847390.719999999</v>
      </c>
      <c r="H25" s="19">
        <f t="shared" si="12"/>
        <v>100747380.09</v>
      </c>
      <c r="I25" s="19">
        <f t="shared" si="12"/>
        <v>104106366.76000001</v>
      </c>
      <c r="J25" s="19">
        <f t="shared" si="12"/>
        <v>102051527.83</v>
      </c>
      <c r="K25" s="19">
        <f t="shared" si="12"/>
        <v>105624231.13999999</v>
      </c>
      <c r="L25" s="19">
        <f t="shared" si="12"/>
        <v>124534714.37000002</v>
      </c>
      <c r="M25" s="19">
        <f t="shared" si="12"/>
        <v>157173816.81</v>
      </c>
      <c r="N25" s="19">
        <f t="shared" si="12"/>
        <v>158685751.05000001</v>
      </c>
      <c r="O25" s="19">
        <f t="shared" si="12"/>
        <v>140455389.20000002</v>
      </c>
      <c r="P25" s="19">
        <f t="shared" si="12"/>
        <v>105455389.20000002</v>
      </c>
      <c r="Q25" s="19">
        <f t="shared" si="12"/>
        <v>105362389.20000002</v>
      </c>
      <c r="R25" s="19">
        <f t="shared" si="12"/>
        <v>105362389.20000002</v>
      </c>
      <c r="S25" s="19">
        <f t="shared" si="12"/>
        <v>105362389.20000002</v>
      </c>
      <c r="T25" s="19"/>
    </row>
    <row r="26" spans="1:26" x14ac:dyDescent="0.25">
      <c r="A26" s="13">
        <v>11</v>
      </c>
      <c r="B26" s="14" t="s">
        <v>21</v>
      </c>
      <c r="C26" s="19">
        <f>C17</f>
        <v>0</v>
      </c>
      <c r="D26" s="19">
        <f t="shared" ref="D26:S26" si="13">D32</f>
        <v>0</v>
      </c>
      <c r="E26" s="19">
        <f t="shared" si="13"/>
        <v>0</v>
      </c>
      <c r="F26" s="19">
        <f t="shared" si="13"/>
        <v>0</v>
      </c>
      <c r="G26" s="19">
        <f t="shared" si="13"/>
        <v>0</v>
      </c>
      <c r="H26" s="19">
        <f t="shared" si="13"/>
        <v>0</v>
      </c>
      <c r="I26" s="19">
        <f t="shared" si="13"/>
        <v>0</v>
      </c>
      <c r="J26" s="19">
        <f t="shared" si="13"/>
        <v>0</v>
      </c>
      <c r="K26" s="19">
        <f t="shared" si="13"/>
        <v>0</v>
      </c>
      <c r="L26" s="19">
        <f t="shared" si="13"/>
        <v>0</v>
      </c>
      <c r="M26" s="19">
        <f t="shared" si="13"/>
        <v>0</v>
      </c>
      <c r="N26" s="19">
        <f t="shared" si="13"/>
        <v>0</v>
      </c>
      <c r="O26" s="19">
        <f t="shared" si="13"/>
        <v>0</v>
      </c>
      <c r="P26" s="19">
        <f t="shared" si="13"/>
        <v>0</v>
      </c>
      <c r="Q26" s="19">
        <f t="shared" si="13"/>
        <v>0</v>
      </c>
      <c r="R26" s="19">
        <f t="shared" si="13"/>
        <v>0</v>
      </c>
      <c r="S26" s="19">
        <f t="shared" si="13"/>
        <v>0</v>
      </c>
      <c r="T26" s="19"/>
    </row>
    <row r="27" spans="1:26" x14ac:dyDescent="0.25">
      <c r="A27" s="13">
        <v>12</v>
      </c>
      <c r="B27" s="14" t="s">
        <v>22</v>
      </c>
      <c r="C27" s="19">
        <f t="shared" ref="C27:S27" si="14">C18-C22</f>
        <v>13145438.020000011</v>
      </c>
      <c r="D27" s="19">
        <f t="shared" si="14"/>
        <v>34100</v>
      </c>
      <c r="E27" s="19">
        <f t="shared" si="14"/>
        <v>64000</v>
      </c>
      <c r="F27" s="19">
        <f t="shared" si="14"/>
        <v>386300</v>
      </c>
      <c r="G27" s="19">
        <f t="shared" si="14"/>
        <v>3842498.93</v>
      </c>
      <c r="H27" s="19">
        <f t="shared" si="14"/>
        <v>356880</v>
      </c>
      <c r="I27" s="19">
        <f t="shared" si="14"/>
        <v>125200</v>
      </c>
      <c r="J27" s="19">
        <f t="shared" si="14"/>
        <v>290900</v>
      </c>
      <c r="K27" s="19">
        <f t="shared" si="14"/>
        <v>1782014.06</v>
      </c>
      <c r="L27" s="19">
        <f t="shared" si="14"/>
        <v>1092014.3599999999</v>
      </c>
      <c r="M27" s="19">
        <f t="shared" si="14"/>
        <v>4182530.67</v>
      </c>
      <c r="N27" s="19">
        <f t="shared" si="14"/>
        <v>989000</v>
      </c>
      <c r="O27" s="19">
        <f t="shared" si="14"/>
        <v>0</v>
      </c>
      <c r="P27" s="19">
        <f t="shared" si="14"/>
        <v>0</v>
      </c>
      <c r="Q27" s="19">
        <f t="shared" si="14"/>
        <v>0</v>
      </c>
      <c r="R27" s="19">
        <f t="shared" si="14"/>
        <v>0</v>
      </c>
      <c r="S27" s="19">
        <f t="shared" si="14"/>
        <v>0</v>
      </c>
      <c r="T27" s="19"/>
      <c r="W27" s="6"/>
    </row>
    <row r="28" spans="1:26" x14ac:dyDescent="0.25">
      <c r="A28" s="13">
        <v>13</v>
      </c>
      <c r="B28" s="14" t="s">
        <v>23</v>
      </c>
      <c r="C28" s="19">
        <f t="shared" ref="C28:S28" si="15">C19-C23</f>
        <v>1438624366.5399997</v>
      </c>
      <c r="D28" s="19">
        <f t="shared" si="15"/>
        <v>43133248.600000001</v>
      </c>
      <c r="E28" s="19">
        <f t="shared" si="15"/>
        <v>47103363.010000005</v>
      </c>
      <c r="F28" s="19">
        <f t="shared" si="15"/>
        <v>44746322.359999999</v>
      </c>
      <c r="G28" s="19">
        <f t="shared" si="15"/>
        <v>65424359.059999995</v>
      </c>
      <c r="H28" s="19">
        <f t="shared" si="15"/>
        <v>85395551.870000005</v>
      </c>
      <c r="I28" s="19">
        <f t="shared" si="15"/>
        <v>92432754.310000002</v>
      </c>
      <c r="J28" s="19">
        <f t="shared" si="15"/>
        <v>92025171.079999998</v>
      </c>
      <c r="K28" s="19">
        <f t="shared" si="15"/>
        <v>93522550.419999987</v>
      </c>
      <c r="L28" s="19">
        <f t="shared" si="15"/>
        <v>107558916.76000002</v>
      </c>
      <c r="M28" s="19">
        <f t="shared" si="15"/>
        <v>134077311.11000001</v>
      </c>
      <c r="N28" s="19">
        <f t="shared" si="15"/>
        <v>142070775.21000001</v>
      </c>
      <c r="O28" s="19">
        <f t="shared" si="15"/>
        <v>126226808.55000001</v>
      </c>
      <c r="P28" s="19">
        <f t="shared" si="15"/>
        <v>91226808.550000012</v>
      </c>
      <c r="Q28" s="19">
        <f t="shared" si="15"/>
        <v>91226808.550000012</v>
      </c>
      <c r="R28" s="19">
        <f t="shared" si="15"/>
        <v>91226808.550000012</v>
      </c>
      <c r="S28" s="19">
        <f t="shared" si="15"/>
        <v>91226808.550000012</v>
      </c>
      <c r="T28" s="19"/>
    </row>
    <row r="29" spans="1:26" ht="29.25" x14ac:dyDescent="0.25">
      <c r="A29" s="13">
        <v>14</v>
      </c>
      <c r="B29" s="14" t="s">
        <v>24</v>
      </c>
      <c r="C29" s="19">
        <f t="shared" ref="C29:S29" si="16">C20-C24</f>
        <v>184902005.90000004</v>
      </c>
      <c r="D29" s="19">
        <f t="shared" si="16"/>
        <v>2225000</v>
      </c>
      <c r="E29" s="19">
        <f t="shared" si="16"/>
        <v>2770823.21</v>
      </c>
      <c r="F29" s="19">
        <f t="shared" si="16"/>
        <v>2439528.5100000002</v>
      </c>
      <c r="G29" s="19">
        <f t="shared" si="16"/>
        <v>9580532.7300000004</v>
      </c>
      <c r="H29" s="19">
        <f t="shared" si="16"/>
        <v>14994948.219999999</v>
      </c>
      <c r="I29" s="19">
        <f t="shared" si="16"/>
        <v>11548412.449999999</v>
      </c>
      <c r="J29" s="19">
        <f t="shared" si="16"/>
        <v>9735456.75</v>
      </c>
      <c r="K29" s="19">
        <f t="shared" si="16"/>
        <v>10319666.66</v>
      </c>
      <c r="L29" s="19">
        <f t="shared" si="16"/>
        <v>15883783.25</v>
      </c>
      <c r="M29" s="19">
        <f t="shared" si="16"/>
        <v>18913975.029999997</v>
      </c>
      <c r="N29" s="19">
        <f t="shared" si="16"/>
        <v>15625975.84</v>
      </c>
      <c r="O29" s="19">
        <f t="shared" si="16"/>
        <v>14228580.65</v>
      </c>
      <c r="P29" s="19">
        <f t="shared" si="16"/>
        <v>14228580.65</v>
      </c>
      <c r="Q29" s="19">
        <f t="shared" si="16"/>
        <v>14135580.65</v>
      </c>
      <c r="R29" s="19">
        <f t="shared" si="16"/>
        <v>14135580.65</v>
      </c>
      <c r="S29" s="19">
        <f t="shared" si="16"/>
        <v>14135580.65</v>
      </c>
      <c r="T29" s="19"/>
      <c r="Z29" s="7"/>
    </row>
    <row r="30" spans="1:26" ht="22.5" customHeight="1" x14ac:dyDescent="0.25">
      <c r="A30" s="13">
        <v>15</v>
      </c>
      <c r="B30" s="41" t="s">
        <v>133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6" ht="139.5" customHeight="1" x14ac:dyDescent="0.25">
      <c r="A31" s="13">
        <v>16</v>
      </c>
      <c r="B31" s="14" t="s">
        <v>27</v>
      </c>
      <c r="C31" s="19">
        <f>SUM(D31:S31)</f>
        <v>1478278201.1599996</v>
      </c>
      <c r="D31" s="19">
        <f t="shared" ref="D31:S31" si="17">D37+D52</f>
        <v>32060490.770000003</v>
      </c>
      <c r="E31" s="19">
        <f t="shared" si="17"/>
        <v>32751422.900000002</v>
      </c>
      <c r="F31" s="19">
        <f t="shared" si="17"/>
        <v>32514910.199999999</v>
      </c>
      <c r="G31" s="19">
        <f t="shared" si="17"/>
        <v>58213357.019999996</v>
      </c>
      <c r="H31" s="19">
        <f t="shared" si="17"/>
        <v>95291468.499999985</v>
      </c>
      <c r="I31" s="19">
        <f t="shared" si="17"/>
        <v>98474523.420000002</v>
      </c>
      <c r="J31" s="19">
        <f t="shared" si="17"/>
        <v>94923779.090000004</v>
      </c>
      <c r="K31" s="19">
        <f t="shared" si="17"/>
        <v>98442032.989999995</v>
      </c>
      <c r="L31" s="19">
        <f t="shared" si="17"/>
        <v>107190515.76000001</v>
      </c>
      <c r="M31" s="19">
        <f t="shared" si="17"/>
        <v>148011997.28000003</v>
      </c>
      <c r="N31" s="19">
        <f t="shared" si="17"/>
        <v>150112233.82000002</v>
      </c>
      <c r="O31" s="19">
        <f t="shared" si="17"/>
        <v>132337871.97</v>
      </c>
      <c r="P31" s="19">
        <f t="shared" si="17"/>
        <v>99558149.359999999</v>
      </c>
      <c r="Q31" s="19">
        <f t="shared" si="17"/>
        <v>99465149.359999999</v>
      </c>
      <c r="R31" s="19">
        <f t="shared" si="17"/>
        <v>99465149.359999999</v>
      </c>
      <c r="S31" s="19">
        <f t="shared" si="17"/>
        <v>99465149.359999999</v>
      </c>
      <c r="T31" s="19" t="s">
        <v>28</v>
      </c>
    </row>
    <row r="32" spans="1:26" x14ac:dyDescent="0.25">
      <c r="A32" s="13">
        <v>17</v>
      </c>
      <c r="B32" s="14" t="s">
        <v>21</v>
      </c>
      <c r="C32" s="19">
        <f>SUM(D32:S32)</f>
        <v>0</v>
      </c>
      <c r="D32" s="19">
        <v>0</v>
      </c>
      <c r="E32" s="19">
        <v>0</v>
      </c>
      <c r="F32" s="19">
        <v>0</v>
      </c>
      <c r="G32" s="19">
        <v>0</v>
      </c>
      <c r="H32" s="19">
        <f>H53</f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/>
    </row>
    <row r="33" spans="1:20" x14ac:dyDescent="0.25">
      <c r="A33" s="13">
        <v>18</v>
      </c>
      <c r="B33" s="14" t="s">
        <v>22</v>
      </c>
      <c r="C33" s="19">
        <f>SUM(D33:S33)</f>
        <v>11017339.359999999</v>
      </c>
      <c r="D33" s="19">
        <f t="shared" ref="D33:S33" si="18">D38+D54</f>
        <v>0</v>
      </c>
      <c r="E33" s="19">
        <f t="shared" si="18"/>
        <v>0</v>
      </c>
      <c r="F33" s="19">
        <f t="shared" si="18"/>
        <v>350500</v>
      </c>
      <c r="G33" s="19">
        <f t="shared" si="18"/>
        <v>2128416.7400000002</v>
      </c>
      <c r="H33" s="19">
        <f t="shared" si="18"/>
        <v>356880</v>
      </c>
      <c r="I33" s="19">
        <f t="shared" si="18"/>
        <v>125200</v>
      </c>
      <c r="J33" s="19">
        <f t="shared" si="18"/>
        <v>290900</v>
      </c>
      <c r="K33" s="19">
        <f t="shared" si="18"/>
        <v>1771810.81</v>
      </c>
      <c r="L33" s="19">
        <f t="shared" si="18"/>
        <v>973373.29999999993</v>
      </c>
      <c r="M33" s="19">
        <f>M38+M54</f>
        <v>4031258.51</v>
      </c>
      <c r="N33" s="19">
        <f t="shared" si="18"/>
        <v>989000</v>
      </c>
      <c r="O33" s="19">
        <f t="shared" si="18"/>
        <v>0</v>
      </c>
      <c r="P33" s="19">
        <f t="shared" si="18"/>
        <v>0</v>
      </c>
      <c r="Q33" s="19">
        <f t="shared" si="18"/>
        <v>0</v>
      </c>
      <c r="R33" s="19">
        <f t="shared" si="18"/>
        <v>0</v>
      </c>
      <c r="S33" s="19">
        <f t="shared" si="18"/>
        <v>0</v>
      </c>
      <c r="T33" s="19"/>
    </row>
    <row r="34" spans="1:20" x14ac:dyDescent="0.25">
      <c r="A34" s="13">
        <v>19</v>
      </c>
      <c r="B34" s="14" t="s">
        <v>23</v>
      </c>
      <c r="C34" s="19">
        <f>SUM(D34:S34)</f>
        <v>1283441078.8900001</v>
      </c>
      <c r="D34" s="19">
        <f t="shared" ref="D34:S34" si="19">D39+D55</f>
        <v>29920490.770000003</v>
      </c>
      <c r="E34" s="19">
        <f t="shared" si="19"/>
        <v>30109494.5</v>
      </c>
      <c r="F34" s="19">
        <f t="shared" si="19"/>
        <v>29846763.869999997</v>
      </c>
      <c r="G34" s="19">
        <f t="shared" si="19"/>
        <v>46621712.549999997</v>
      </c>
      <c r="H34" s="19">
        <f t="shared" si="19"/>
        <v>79939640.280000001</v>
      </c>
      <c r="I34" s="19">
        <f t="shared" si="19"/>
        <v>86800910.969999999</v>
      </c>
      <c r="J34" s="19">
        <f t="shared" si="19"/>
        <v>84897422.340000004</v>
      </c>
      <c r="K34" s="19">
        <f t="shared" si="19"/>
        <v>86350555.519999981</v>
      </c>
      <c r="L34" s="19">
        <f t="shared" si="19"/>
        <v>90962500.210000023</v>
      </c>
      <c r="M34" s="19">
        <f t="shared" si="19"/>
        <v>125066763.74000001</v>
      </c>
      <c r="N34" s="19">
        <f>N39+N55</f>
        <v>133497257.98000002</v>
      </c>
      <c r="O34" s="19">
        <f t="shared" si="19"/>
        <v>118109291.32000001</v>
      </c>
      <c r="P34" s="19">
        <f t="shared" si="19"/>
        <v>85329568.710000008</v>
      </c>
      <c r="Q34" s="19">
        <f t="shared" si="19"/>
        <v>85329568.710000008</v>
      </c>
      <c r="R34" s="19">
        <f t="shared" si="19"/>
        <v>85329568.710000008</v>
      </c>
      <c r="S34" s="19">
        <f t="shared" si="19"/>
        <v>85329568.710000008</v>
      </c>
      <c r="T34" s="19"/>
    </row>
    <row r="35" spans="1:20" ht="29.25" x14ac:dyDescent="0.25">
      <c r="A35" s="13">
        <v>20</v>
      </c>
      <c r="B35" s="14" t="s">
        <v>24</v>
      </c>
      <c r="C35" s="19">
        <f>SUM(D35:S35)</f>
        <v>183819782.91000003</v>
      </c>
      <c r="D35" s="19">
        <f t="shared" ref="D35:S35" si="20">D40+D56</f>
        <v>2140000</v>
      </c>
      <c r="E35" s="19">
        <f t="shared" si="20"/>
        <v>2641928.4</v>
      </c>
      <c r="F35" s="19">
        <f t="shared" si="20"/>
        <v>2317646.33</v>
      </c>
      <c r="G35" s="19">
        <f t="shared" si="20"/>
        <v>9463227.7300000004</v>
      </c>
      <c r="H35" s="19">
        <f t="shared" si="20"/>
        <v>14994948.219999999</v>
      </c>
      <c r="I35" s="19">
        <f t="shared" si="20"/>
        <v>11548412.449999999</v>
      </c>
      <c r="J35" s="19">
        <f t="shared" si="20"/>
        <v>9735456.75</v>
      </c>
      <c r="K35" s="19">
        <f t="shared" si="20"/>
        <v>10319666.66</v>
      </c>
      <c r="L35" s="19">
        <f t="shared" si="20"/>
        <v>15254642.25</v>
      </c>
      <c r="M35" s="19">
        <f t="shared" si="20"/>
        <v>18913975.029999997</v>
      </c>
      <c r="N35" s="19">
        <f t="shared" si="20"/>
        <v>15625975.84</v>
      </c>
      <c r="O35" s="19">
        <f t="shared" si="20"/>
        <v>14228580.65</v>
      </c>
      <c r="P35" s="19">
        <f t="shared" si="20"/>
        <v>14228580.65</v>
      </c>
      <c r="Q35" s="19">
        <f t="shared" si="20"/>
        <v>14135580.65</v>
      </c>
      <c r="R35" s="19">
        <f t="shared" si="20"/>
        <v>14135580.65</v>
      </c>
      <c r="S35" s="19">
        <f t="shared" si="20"/>
        <v>14135580.65</v>
      </c>
      <c r="T35" s="19"/>
    </row>
    <row r="36" spans="1:20" ht="21.75" customHeight="1" x14ac:dyDescent="0.25">
      <c r="A36" s="13">
        <v>21</v>
      </c>
      <c r="B36" s="41" t="s">
        <v>29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57.6" customHeight="1" x14ac:dyDescent="0.25">
      <c r="A37" s="13">
        <v>22</v>
      </c>
      <c r="B37" s="14" t="s">
        <v>30</v>
      </c>
      <c r="C37" s="19">
        <f t="shared" ref="C37:S37" si="21">C42+C47</f>
        <v>0</v>
      </c>
      <c r="D37" s="19">
        <f t="shared" si="21"/>
        <v>0</v>
      </c>
      <c r="E37" s="19">
        <f t="shared" si="21"/>
        <v>0</v>
      </c>
      <c r="F37" s="19">
        <f t="shared" si="21"/>
        <v>0</v>
      </c>
      <c r="G37" s="19">
        <f t="shared" si="21"/>
        <v>0</v>
      </c>
      <c r="H37" s="19">
        <f t="shared" si="21"/>
        <v>0</v>
      </c>
      <c r="I37" s="19">
        <f t="shared" si="21"/>
        <v>0</v>
      </c>
      <c r="J37" s="19">
        <f t="shared" si="21"/>
        <v>0</v>
      </c>
      <c r="K37" s="19">
        <f t="shared" si="21"/>
        <v>0</v>
      </c>
      <c r="L37" s="19">
        <f t="shared" si="21"/>
        <v>0</v>
      </c>
      <c r="M37" s="19">
        <f t="shared" si="21"/>
        <v>0</v>
      </c>
      <c r="N37" s="19">
        <f t="shared" si="21"/>
        <v>0</v>
      </c>
      <c r="O37" s="19">
        <f t="shared" si="21"/>
        <v>0</v>
      </c>
      <c r="P37" s="19">
        <f t="shared" si="21"/>
        <v>0</v>
      </c>
      <c r="Q37" s="19">
        <f t="shared" si="21"/>
        <v>0</v>
      </c>
      <c r="R37" s="19">
        <f t="shared" si="21"/>
        <v>0</v>
      </c>
      <c r="S37" s="19">
        <f t="shared" si="21"/>
        <v>0</v>
      </c>
      <c r="T37" s="19"/>
    </row>
    <row r="38" spans="1:20" x14ac:dyDescent="0.25">
      <c r="A38" s="13">
        <v>23</v>
      </c>
      <c r="B38" s="14" t="s">
        <v>22</v>
      </c>
      <c r="C38" s="19">
        <f t="shared" ref="C38:S38" si="22">C43+C48</f>
        <v>0</v>
      </c>
      <c r="D38" s="19">
        <f t="shared" si="22"/>
        <v>0</v>
      </c>
      <c r="E38" s="19">
        <f t="shared" si="22"/>
        <v>0</v>
      </c>
      <c r="F38" s="19">
        <f t="shared" si="22"/>
        <v>0</v>
      </c>
      <c r="G38" s="19">
        <f t="shared" si="22"/>
        <v>0</v>
      </c>
      <c r="H38" s="19">
        <f t="shared" si="22"/>
        <v>0</v>
      </c>
      <c r="I38" s="19">
        <f t="shared" si="22"/>
        <v>0</v>
      </c>
      <c r="J38" s="19">
        <f t="shared" si="22"/>
        <v>0</v>
      </c>
      <c r="K38" s="19">
        <f t="shared" si="22"/>
        <v>0</v>
      </c>
      <c r="L38" s="19">
        <f t="shared" si="22"/>
        <v>0</v>
      </c>
      <c r="M38" s="19">
        <f t="shared" si="22"/>
        <v>0</v>
      </c>
      <c r="N38" s="19">
        <f t="shared" si="22"/>
        <v>0</v>
      </c>
      <c r="O38" s="19">
        <f t="shared" si="22"/>
        <v>0</v>
      </c>
      <c r="P38" s="19">
        <f t="shared" si="22"/>
        <v>0</v>
      </c>
      <c r="Q38" s="19">
        <f t="shared" si="22"/>
        <v>0</v>
      </c>
      <c r="R38" s="19">
        <f t="shared" si="22"/>
        <v>0</v>
      </c>
      <c r="S38" s="19">
        <f t="shared" si="22"/>
        <v>0</v>
      </c>
      <c r="T38" s="19"/>
    </row>
    <row r="39" spans="1:20" x14ac:dyDescent="0.25">
      <c r="A39" s="13">
        <v>24</v>
      </c>
      <c r="B39" s="14" t="s">
        <v>23</v>
      </c>
      <c r="C39" s="19">
        <f t="shared" ref="C39:S39" si="23">C44+C49</f>
        <v>0</v>
      </c>
      <c r="D39" s="19">
        <f t="shared" si="23"/>
        <v>0</v>
      </c>
      <c r="E39" s="19">
        <f t="shared" si="23"/>
        <v>0</v>
      </c>
      <c r="F39" s="19">
        <f t="shared" si="23"/>
        <v>0</v>
      </c>
      <c r="G39" s="19">
        <f t="shared" si="23"/>
        <v>0</v>
      </c>
      <c r="H39" s="19">
        <f t="shared" si="23"/>
        <v>0</v>
      </c>
      <c r="I39" s="19">
        <f t="shared" si="23"/>
        <v>0</v>
      </c>
      <c r="J39" s="19">
        <f t="shared" si="23"/>
        <v>0</v>
      </c>
      <c r="K39" s="19">
        <f t="shared" si="23"/>
        <v>0</v>
      </c>
      <c r="L39" s="19">
        <f t="shared" si="23"/>
        <v>0</v>
      </c>
      <c r="M39" s="19">
        <f t="shared" si="23"/>
        <v>0</v>
      </c>
      <c r="N39" s="19">
        <f t="shared" si="23"/>
        <v>0</v>
      </c>
      <c r="O39" s="19">
        <f t="shared" si="23"/>
        <v>0</v>
      </c>
      <c r="P39" s="19">
        <f t="shared" si="23"/>
        <v>0</v>
      </c>
      <c r="Q39" s="19">
        <f t="shared" si="23"/>
        <v>0</v>
      </c>
      <c r="R39" s="19">
        <f t="shared" si="23"/>
        <v>0</v>
      </c>
      <c r="S39" s="19">
        <f t="shared" si="23"/>
        <v>0</v>
      </c>
      <c r="T39" s="19"/>
    </row>
    <row r="40" spans="1:20" ht="29.25" x14ac:dyDescent="0.25">
      <c r="A40" s="13">
        <v>25</v>
      </c>
      <c r="B40" s="14" t="s">
        <v>24</v>
      </c>
      <c r="C40" s="19">
        <f t="shared" ref="C40:S40" si="24">C45+C50</f>
        <v>0</v>
      </c>
      <c r="D40" s="19">
        <f t="shared" si="24"/>
        <v>0</v>
      </c>
      <c r="E40" s="19">
        <f t="shared" si="24"/>
        <v>0</v>
      </c>
      <c r="F40" s="19">
        <f t="shared" si="24"/>
        <v>0</v>
      </c>
      <c r="G40" s="19">
        <f t="shared" si="24"/>
        <v>0</v>
      </c>
      <c r="H40" s="19">
        <f t="shared" si="24"/>
        <v>0</v>
      </c>
      <c r="I40" s="19">
        <f t="shared" si="24"/>
        <v>0</v>
      </c>
      <c r="J40" s="19">
        <f t="shared" si="24"/>
        <v>0</v>
      </c>
      <c r="K40" s="19">
        <f t="shared" si="24"/>
        <v>0</v>
      </c>
      <c r="L40" s="19">
        <f t="shared" si="24"/>
        <v>0</v>
      </c>
      <c r="M40" s="19">
        <f t="shared" si="24"/>
        <v>0</v>
      </c>
      <c r="N40" s="19">
        <f t="shared" si="24"/>
        <v>0</v>
      </c>
      <c r="O40" s="19">
        <f t="shared" si="24"/>
        <v>0</v>
      </c>
      <c r="P40" s="19">
        <f t="shared" si="24"/>
        <v>0</v>
      </c>
      <c r="Q40" s="19">
        <f t="shared" si="24"/>
        <v>0</v>
      </c>
      <c r="R40" s="19">
        <f t="shared" si="24"/>
        <v>0</v>
      </c>
      <c r="S40" s="19">
        <f t="shared" si="24"/>
        <v>0</v>
      </c>
      <c r="T40" s="19"/>
    </row>
    <row r="41" spans="1:20" ht="15.75" customHeight="1" x14ac:dyDescent="0.25">
      <c r="A41" s="13">
        <v>26</v>
      </c>
      <c r="B41" s="41" t="s">
        <v>31</v>
      </c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72" customHeight="1" x14ac:dyDescent="0.25">
      <c r="A42" s="13">
        <v>27</v>
      </c>
      <c r="B42" s="14" t="s">
        <v>32</v>
      </c>
      <c r="C42" s="19"/>
      <c r="D42" s="19"/>
      <c r="E42" s="19"/>
      <c r="F42" s="19"/>
      <c r="G42" s="19"/>
      <c r="H42" s="19"/>
      <c r="I42" s="19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19"/>
    </row>
    <row r="43" spans="1:20" x14ac:dyDescent="0.25">
      <c r="A43" s="13">
        <v>28</v>
      </c>
      <c r="B43" s="14" t="s">
        <v>22</v>
      </c>
      <c r="C43" s="19"/>
      <c r="D43" s="19"/>
      <c r="E43" s="19"/>
      <c r="F43" s="19"/>
      <c r="G43" s="19"/>
      <c r="H43" s="19"/>
      <c r="I43" s="19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19"/>
    </row>
    <row r="44" spans="1:20" x14ac:dyDescent="0.25">
      <c r="A44" s="13">
        <v>29</v>
      </c>
      <c r="B44" s="14" t="s">
        <v>23</v>
      </c>
      <c r="C44" s="19"/>
      <c r="D44" s="19"/>
      <c r="E44" s="19"/>
      <c r="F44" s="19"/>
      <c r="G44" s="19"/>
      <c r="H44" s="19"/>
      <c r="I44" s="19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19"/>
    </row>
    <row r="45" spans="1:20" ht="29.25" x14ac:dyDescent="0.25">
      <c r="A45" s="13">
        <v>30</v>
      </c>
      <c r="B45" s="14" t="s">
        <v>24</v>
      </c>
      <c r="C45" s="19"/>
      <c r="D45" s="19"/>
      <c r="E45" s="19"/>
      <c r="F45" s="19"/>
      <c r="G45" s="19"/>
      <c r="H45" s="19"/>
      <c r="I45" s="19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19"/>
    </row>
    <row r="46" spans="1:20" ht="15.75" customHeight="1" x14ac:dyDescent="0.25">
      <c r="A46" s="13">
        <v>31</v>
      </c>
      <c r="B46" s="41" t="s">
        <v>33</v>
      </c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43.5" x14ac:dyDescent="0.25">
      <c r="A47" s="13">
        <v>32</v>
      </c>
      <c r="B47" s="14" t="s">
        <v>34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</row>
    <row r="48" spans="1:20" x14ac:dyDescent="0.25">
      <c r="A48" s="13">
        <v>33</v>
      </c>
      <c r="B48" s="14" t="s">
        <v>22</v>
      </c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</row>
    <row r="49" spans="1:20" x14ac:dyDescent="0.25">
      <c r="A49" s="13">
        <v>34</v>
      </c>
      <c r="B49" s="14" t="s">
        <v>23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</row>
    <row r="50" spans="1:20" ht="29.25" x14ac:dyDescent="0.25">
      <c r="A50" s="13">
        <v>35</v>
      </c>
      <c r="B50" s="14" t="s">
        <v>24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</row>
    <row r="51" spans="1:20" ht="15.75" customHeight="1" x14ac:dyDescent="0.25">
      <c r="A51" s="13">
        <v>36</v>
      </c>
      <c r="B51" s="41" t="s">
        <v>35</v>
      </c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102" customHeight="1" x14ac:dyDescent="0.25">
      <c r="A52" s="13">
        <v>37</v>
      </c>
      <c r="B52" s="14" t="s">
        <v>36</v>
      </c>
      <c r="C52" s="19">
        <f>SUM(D52:S52)</f>
        <v>1478278201.1599996</v>
      </c>
      <c r="D52" s="19">
        <f>D61+D65+D69+D73</f>
        <v>32060490.770000003</v>
      </c>
      <c r="E52" s="19">
        <f>E61+E65+E69+E73+E77</f>
        <v>32751422.900000002</v>
      </c>
      <c r="F52" s="19">
        <f>F61+F65+F69+F73+F77+F81+F85+F89</f>
        <v>32514910.199999999</v>
      </c>
      <c r="G52" s="19">
        <f>G61+G65+G69+G73+G77+G81+G85+G89</f>
        <v>58213357.019999996</v>
      </c>
      <c r="H52" s="19">
        <f>H57+H65+H69+H73+H77+H81+H85+H89+H93</f>
        <v>95291468.499999985</v>
      </c>
      <c r="I52" s="19">
        <f>I57+I65+I69+I73+I77+I81+I85+I89+I93+I61</f>
        <v>98474523.420000002</v>
      </c>
      <c r="J52" s="19">
        <f>J57+J65+J69+J73+J77+J81+J85+J89+J93+J61+J98+J103</f>
        <v>94923779.090000004</v>
      </c>
      <c r="K52" s="19">
        <f>K57+K65+K69+K73+K77+K81+K85+K89+K93+K61+K105+K108+K110+K112</f>
        <v>98442032.989999995</v>
      </c>
      <c r="L52" s="19">
        <f>L57+L65+L69+L73+L77+L81+L85+L89+L93+L61+L105+L108+L98+L103+L110+L112+L114+L116+L118+L120</f>
        <v>107190515.76000001</v>
      </c>
      <c r="M52" s="19">
        <f>M57+M65+M69+M73+M77+M81+M85+M89+M93+M61+M105+M108+M98+M103+M110+M112+M114+M116+M118+M120+M122+M125+M127+M129</f>
        <v>148011997.28000003</v>
      </c>
      <c r="N52" s="19">
        <f>N57+N65+N69+N73+N77+N81+N85+N89+N93+N61+N105+N108+N98+N103+N110+N112+N114+N116+N118+N120+N122+N131</f>
        <v>150112233.82000002</v>
      </c>
      <c r="O52" s="19">
        <f t="shared" ref="O52:S52" si="25">O57+O65+O69+O73+O77+O81+O85+O89+O93+O61+O105+O108+O98+O103+O110+O112+O114+O116+O118+O120+O122</f>
        <v>132337871.97</v>
      </c>
      <c r="P52" s="19">
        <f t="shared" si="25"/>
        <v>99558149.359999999</v>
      </c>
      <c r="Q52" s="19">
        <f t="shared" si="25"/>
        <v>99465149.359999999</v>
      </c>
      <c r="R52" s="19">
        <f t="shared" si="25"/>
        <v>99465149.359999999</v>
      </c>
      <c r="S52" s="19">
        <f t="shared" si="25"/>
        <v>99465149.359999999</v>
      </c>
      <c r="T52" s="19" t="s">
        <v>28</v>
      </c>
    </row>
    <row r="53" spans="1:20" x14ac:dyDescent="0.25">
      <c r="A53" s="13">
        <v>38</v>
      </c>
      <c r="B53" s="14" t="s">
        <v>21</v>
      </c>
      <c r="C53" s="19">
        <f>SUM(D53:Q53)</f>
        <v>0</v>
      </c>
      <c r="D53" s="19">
        <v>0</v>
      </c>
      <c r="E53" s="19">
        <v>0</v>
      </c>
      <c r="F53" s="19">
        <v>0</v>
      </c>
      <c r="G53" s="19">
        <v>0</v>
      </c>
      <c r="H53" s="19">
        <f>H94</f>
        <v>0</v>
      </c>
      <c r="I53" s="19">
        <f>I94</f>
        <v>0</v>
      </c>
      <c r="J53" s="19">
        <f>J94+J99</f>
        <v>0</v>
      </c>
      <c r="K53" s="19">
        <f t="shared" ref="K53:S53" si="26">K94</f>
        <v>0</v>
      </c>
      <c r="L53" s="19">
        <f t="shared" si="26"/>
        <v>0</v>
      </c>
      <c r="M53" s="19">
        <f t="shared" si="26"/>
        <v>0</v>
      </c>
      <c r="N53" s="19">
        <f t="shared" si="26"/>
        <v>0</v>
      </c>
      <c r="O53" s="19">
        <f t="shared" si="26"/>
        <v>0</v>
      </c>
      <c r="P53" s="19">
        <f t="shared" si="26"/>
        <v>0</v>
      </c>
      <c r="Q53" s="19">
        <f t="shared" si="26"/>
        <v>0</v>
      </c>
      <c r="R53" s="19">
        <f t="shared" si="26"/>
        <v>0</v>
      </c>
      <c r="S53" s="19">
        <f t="shared" si="26"/>
        <v>0</v>
      </c>
      <c r="T53" s="19"/>
    </row>
    <row r="54" spans="1:20" x14ac:dyDescent="0.25">
      <c r="A54" s="13">
        <v>39</v>
      </c>
      <c r="B54" s="14" t="s">
        <v>22</v>
      </c>
      <c r="C54" s="19">
        <f>SUM(D54:S54)</f>
        <v>11017339.359999999</v>
      </c>
      <c r="D54" s="19">
        <f>D62+D66+D70+D74</f>
        <v>0</v>
      </c>
      <c r="E54" s="19">
        <f>E62+E66+E70</f>
        <v>0</v>
      </c>
      <c r="F54" s="19">
        <f>F62+F66+F70+F74+F78+F82+F86+F90</f>
        <v>350500</v>
      </c>
      <c r="G54" s="19">
        <f>G62+G66+G70+G74+G78+G82+G86+G58</f>
        <v>2128416.7400000002</v>
      </c>
      <c r="H54" s="19">
        <f>H62+H66+H70+H74+H78+H82+H86+H90+H95</f>
        <v>356880</v>
      </c>
      <c r="I54" s="19">
        <f>I62+I66+I70+I74+I78+I82+I86+I90+I95</f>
        <v>125200</v>
      </c>
      <c r="J54" s="19">
        <f>J62+J66+J70+J74+J78+J82+J86+J90+J95+J58+J100</f>
        <v>290900</v>
      </c>
      <c r="K54" s="19">
        <f t="shared" ref="K54:S54" si="27">K62+K66+K70+K74+K78+K82+K86+K90+K95+K58+K100+K106+K111+K113</f>
        <v>1771810.81</v>
      </c>
      <c r="L54" s="19">
        <f t="shared" si="27"/>
        <v>973373.29999999993</v>
      </c>
      <c r="M54" s="19">
        <f>M62+M66+M70+M74+M78+M82+M86+M90+M95+M58+M100+M106+M111+M113+M126+M128+M130</f>
        <v>4031258.51</v>
      </c>
      <c r="N54" s="19">
        <f>N58+N62+N66+N70+N74+N78+N82+N86+N90+N95+N100+N106+N111+N113+N126+N128+N130+N132</f>
        <v>989000</v>
      </c>
      <c r="O54" s="19">
        <f t="shared" si="27"/>
        <v>0</v>
      </c>
      <c r="P54" s="19">
        <f t="shared" si="27"/>
        <v>0</v>
      </c>
      <c r="Q54" s="19">
        <f t="shared" si="27"/>
        <v>0</v>
      </c>
      <c r="R54" s="19">
        <f t="shared" si="27"/>
        <v>0</v>
      </c>
      <c r="S54" s="19">
        <f t="shared" si="27"/>
        <v>0</v>
      </c>
      <c r="T54" s="19"/>
    </row>
    <row r="55" spans="1:20" x14ac:dyDescent="0.25">
      <c r="A55" s="13">
        <v>40</v>
      </c>
      <c r="B55" s="14" t="s">
        <v>23</v>
      </c>
      <c r="C55" s="19">
        <f>SUM(D55:S55)</f>
        <v>1283441078.8900001</v>
      </c>
      <c r="D55" s="19">
        <f>D63+D67+D71+D75</f>
        <v>29920490.770000003</v>
      </c>
      <c r="E55" s="19">
        <f>E63+E67+E71+E75+E79+E83+E87</f>
        <v>30109494.5</v>
      </c>
      <c r="F55" s="19">
        <f>F63+F67+F71+F75+F79+F83+F87+F91</f>
        <v>29846763.869999997</v>
      </c>
      <c r="G55" s="19">
        <f>G63+G67+G71+G75+G83+G79+G87+G91+G59</f>
        <v>46621712.549999997</v>
      </c>
      <c r="H55" s="19">
        <f>H63+H67+H71+H75+H83+H79+H87+H91+H59+H96</f>
        <v>79939640.280000001</v>
      </c>
      <c r="I55" s="19">
        <f>I63+I67+I71+I75+I83+I79+I87+I91+I59+I96</f>
        <v>86800910.969999999</v>
      </c>
      <c r="J55" s="19">
        <f>J63+J67+J71+J75+J83+J79+J87+J91+J59+J96+J101+J104</f>
        <v>84897422.340000004</v>
      </c>
      <c r="K55" s="19">
        <f>K63+K67+K71+K75+K83+K79+K87+K91+K59+K96+K101+K104+K107+K109</f>
        <v>86350555.519999981</v>
      </c>
      <c r="L55" s="19">
        <f>L63+L67+L71+L75+L83+L79+L87+L91+L59+L96+L101+L104+L107+L109+L115+L117+L119</f>
        <v>90962500.210000023</v>
      </c>
      <c r="M55" s="19">
        <f>M63+M67+M71+M75+M83+M79+M87+M91+M59+M96+M101+M104+M107+M109+M115+M117+M119+M111+M113+M123-M111-M113</f>
        <v>125066763.74000001</v>
      </c>
      <c r="N55" s="19">
        <f>N63+N67+N71+N75+N83+N79+N87+N91+N59+N96+N101+N104+N107+N109+N115+N117+N119+N111+N113+N123+N133</f>
        <v>133497257.98000002</v>
      </c>
      <c r="O55" s="19">
        <f t="shared" ref="O55:S55" si="28">O63+O67+O71+O75+O83+O79+O87+O91+O59+O96+O101+O104+O107+O109+O115+O117+O119+O111+O113+O123</f>
        <v>118109291.32000001</v>
      </c>
      <c r="P55" s="19">
        <f t="shared" si="28"/>
        <v>85329568.710000008</v>
      </c>
      <c r="Q55" s="19">
        <f t="shared" si="28"/>
        <v>85329568.710000008</v>
      </c>
      <c r="R55" s="19">
        <f t="shared" si="28"/>
        <v>85329568.710000008</v>
      </c>
      <c r="S55" s="19">
        <f t="shared" si="28"/>
        <v>85329568.710000008</v>
      </c>
      <c r="T55" s="19"/>
    </row>
    <row r="56" spans="1:20" ht="29.25" x14ac:dyDescent="0.25">
      <c r="A56" s="13">
        <v>41</v>
      </c>
      <c r="B56" s="14" t="s">
        <v>24</v>
      </c>
      <c r="C56" s="19">
        <f>SUM(D56:S56)</f>
        <v>183819782.91000003</v>
      </c>
      <c r="D56" s="19">
        <f>D64+D68+D72+D76</f>
        <v>2140000</v>
      </c>
      <c r="E56" s="19">
        <f>E64+E68+E72+E76+E84+E88+E97+E80</f>
        <v>2641928.4</v>
      </c>
      <c r="F56" s="19">
        <f>F64+F68+F72+F76+F84+F88+F97+F80</f>
        <v>2317646.33</v>
      </c>
      <c r="G56" s="19">
        <f>G64+G68+G72+G76+G60+G80+G84+G88+G97</f>
        <v>9463227.7300000004</v>
      </c>
      <c r="H56" s="19">
        <f>H60+H64+H68+H72+H76+H80+H84+H88+H97+H92</f>
        <v>14994948.219999999</v>
      </c>
      <c r="I56" s="19">
        <f>I60+I64+I68+I72+I76+I80+I84+I88+I97+I92</f>
        <v>11548412.449999999</v>
      </c>
      <c r="J56" s="19">
        <f>J64+J68+J72+J76+J84+J80+J88+J92+J60+J97+J102</f>
        <v>9735456.75</v>
      </c>
      <c r="K56" s="19">
        <f>K64+K68+K72+K76+K84+K80+K88+K92+K60+K97+K102</f>
        <v>10319666.66</v>
      </c>
      <c r="L56" s="19">
        <f>L64+L68+L72+L76+L84+L80+L88+L92+L60+L97+L102+L121</f>
        <v>15254642.25</v>
      </c>
      <c r="M56" s="19">
        <f t="shared" ref="M56:S56" si="29">M64+M68+M72+M76+M84+M80+M88+M92+M60+M97+M102+M121+M124</f>
        <v>18913975.029999997</v>
      </c>
      <c r="N56" s="19">
        <f t="shared" si="29"/>
        <v>15625975.84</v>
      </c>
      <c r="O56" s="19">
        <f t="shared" si="29"/>
        <v>14228580.65</v>
      </c>
      <c r="P56" s="19">
        <f t="shared" si="29"/>
        <v>14228580.65</v>
      </c>
      <c r="Q56" s="19">
        <f t="shared" si="29"/>
        <v>14135580.65</v>
      </c>
      <c r="R56" s="19">
        <f t="shared" si="29"/>
        <v>14135580.65</v>
      </c>
      <c r="S56" s="19">
        <f t="shared" si="29"/>
        <v>14135580.65</v>
      </c>
      <c r="T56" s="19"/>
    </row>
    <row r="57" spans="1:20" ht="123.75" customHeight="1" x14ac:dyDescent="0.25">
      <c r="A57" s="13">
        <v>42</v>
      </c>
      <c r="B57" s="32" t="s">
        <v>83</v>
      </c>
      <c r="C57" s="19">
        <f>SUM(D57:S57)</f>
        <v>275933134.74000001</v>
      </c>
      <c r="D57" s="19">
        <f t="shared" ref="D57:S57" si="30">SUM(D58:D60)</f>
        <v>0</v>
      </c>
      <c r="E57" s="19">
        <f t="shared" si="30"/>
        <v>0</v>
      </c>
      <c r="F57" s="19">
        <f t="shared" si="30"/>
        <v>0</v>
      </c>
      <c r="G57" s="19">
        <f t="shared" si="30"/>
        <v>0</v>
      </c>
      <c r="H57" s="19">
        <f t="shared" si="30"/>
        <v>83676300.849999994</v>
      </c>
      <c r="I57" s="19">
        <f t="shared" si="30"/>
        <v>22801724.120000001</v>
      </c>
      <c r="J57" s="19">
        <f t="shared" si="30"/>
        <v>18163385.619999997</v>
      </c>
      <c r="K57" s="19">
        <f t="shared" si="30"/>
        <v>18129754.559999999</v>
      </c>
      <c r="L57" s="19">
        <f t="shared" si="30"/>
        <v>18173751.140000001</v>
      </c>
      <c r="M57" s="19">
        <f t="shared" si="30"/>
        <v>22140719.850000001</v>
      </c>
      <c r="N57" s="19">
        <f t="shared" si="30"/>
        <v>20011682.160000004</v>
      </c>
      <c r="O57" s="19">
        <f t="shared" si="30"/>
        <v>20099970.400000002</v>
      </c>
      <c r="P57" s="19">
        <f t="shared" si="30"/>
        <v>13183961.510000002</v>
      </c>
      <c r="Q57" s="19">
        <f t="shared" si="30"/>
        <v>13183961.510000002</v>
      </c>
      <c r="R57" s="19">
        <f t="shared" si="30"/>
        <v>13183961.510000002</v>
      </c>
      <c r="S57" s="19">
        <f t="shared" si="30"/>
        <v>13183961.510000002</v>
      </c>
      <c r="T57" s="15" t="s">
        <v>37</v>
      </c>
    </row>
    <row r="58" spans="1:20" x14ac:dyDescent="0.25">
      <c r="A58" s="13">
        <v>43</v>
      </c>
      <c r="B58" s="14" t="s">
        <v>22</v>
      </c>
      <c r="C58" s="19">
        <f>SUM(D58:Q58)</f>
        <v>0</v>
      </c>
      <c r="D58" s="19"/>
      <c r="E58" s="19"/>
      <c r="F58" s="19"/>
      <c r="G58" s="19"/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5"/>
    </row>
    <row r="59" spans="1:20" x14ac:dyDescent="0.25">
      <c r="A59" s="13">
        <v>44</v>
      </c>
      <c r="B59" s="14" t="s">
        <v>23</v>
      </c>
      <c r="C59" s="19">
        <f t="shared" ref="C59:C96" si="31">SUM(D59:S59)</f>
        <v>267416078.89999995</v>
      </c>
      <c r="D59" s="19"/>
      <c r="E59" s="22"/>
      <c r="F59" s="22"/>
      <c r="G59" s="19"/>
      <c r="H59" s="19">
        <f>23103159.61+23576306.97+3098625.25+13061720.69+9182538.72+3709235.12+422793.92+281499-135826+1447631</f>
        <v>77747684.280000001</v>
      </c>
      <c r="I59" s="19">
        <f>20583566.77+1172108.87</f>
        <v>21755675.640000001</v>
      </c>
      <c r="J59" s="19">
        <f>10949791.41-21043+5354072.12+44000+10800+602935.63+167781.99+199099.95</f>
        <v>17307438.099999998</v>
      </c>
      <c r="K59" s="19">
        <f>17051863.33+353584.36+37863.6</f>
        <v>17443311.289999999</v>
      </c>
      <c r="L59" s="19">
        <f>18071540.78+102210.36</f>
        <v>18173751.140000001</v>
      </c>
      <c r="M59" s="19">
        <f>22133648.57+42.86+7028.42</f>
        <v>22140719.850000001</v>
      </c>
      <c r="N59" s="19">
        <f>13279586.98+4010435.26+469082.94+2340865.22-82976.47-5311.77</f>
        <v>20011682.160000004</v>
      </c>
      <c r="O59" s="19">
        <f>13279586.98+4010435.26+469082.94+2340865.22</f>
        <v>20099970.400000002</v>
      </c>
      <c r="P59" s="19">
        <f>7967752.19+2406261.16+469082.94+2340865.22</f>
        <v>13183961.510000002</v>
      </c>
      <c r="Q59" s="19">
        <f t="shared" ref="Q59:S59" si="32">7967752.19+2406261.16+469082.94+2340865.22</f>
        <v>13183961.510000002</v>
      </c>
      <c r="R59" s="19">
        <f t="shared" si="32"/>
        <v>13183961.510000002</v>
      </c>
      <c r="S59" s="19">
        <f t="shared" si="32"/>
        <v>13183961.510000002</v>
      </c>
      <c r="T59" s="15"/>
    </row>
    <row r="60" spans="1:20" ht="29.25" x14ac:dyDescent="0.25">
      <c r="A60" s="13">
        <v>45</v>
      </c>
      <c r="B60" s="14" t="s">
        <v>24</v>
      </c>
      <c r="C60" s="19">
        <f t="shared" si="31"/>
        <v>8517055.8399999999</v>
      </c>
      <c r="D60" s="19"/>
      <c r="E60" s="19"/>
      <c r="F60" s="19"/>
      <c r="G60" s="19"/>
      <c r="H60" s="19">
        <f>3852232.06+1923556.68+152827.83</f>
        <v>5928616.5700000003</v>
      </c>
      <c r="I60" s="19">
        <v>1046048.48</v>
      </c>
      <c r="J60" s="19">
        <v>855947.52</v>
      </c>
      <c r="K60" s="19">
        <v>686443.27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5"/>
    </row>
    <row r="61" spans="1:20" ht="123.75" customHeight="1" x14ac:dyDescent="0.25">
      <c r="A61" s="13">
        <v>46</v>
      </c>
      <c r="B61" s="32" t="s">
        <v>84</v>
      </c>
      <c r="C61" s="19">
        <f t="shared" si="31"/>
        <v>856869363.41000009</v>
      </c>
      <c r="D61" s="19">
        <f t="shared" ref="D61:S61" si="33">SUM(D62:D64)</f>
        <v>30332288.760000002</v>
      </c>
      <c r="E61" s="19">
        <f t="shared" si="33"/>
        <v>30930523.350000001</v>
      </c>
      <c r="F61" s="19">
        <f t="shared" si="33"/>
        <v>30116336.390000001</v>
      </c>
      <c r="G61" s="19">
        <f t="shared" si="33"/>
        <v>55885084.869999997</v>
      </c>
      <c r="H61" s="19">
        <f t="shared" si="33"/>
        <v>0</v>
      </c>
      <c r="I61" s="19">
        <f t="shared" si="33"/>
        <v>70586462.769999996</v>
      </c>
      <c r="J61" s="19">
        <f t="shared" si="33"/>
        <v>71243786.950000003</v>
      </c>
      <c r="K61" s="19">
        <f t="shared" si="33"/>
        <v>74061410.900000006</v>
      </c>
      <c r="L61" s="19">
        <f t="shared" si="33"/>
        <v>78666487.870000005</v>
      </c>
      <c r="M61" s="19">
        <f t="shared" si="33"/>
        <v>69158803.260000005</v>
      </c>
      <c r="N61" s="19">
        <f t="shared" si="33"/>
        <v>69732248.370000005</v>
      </c>
      <c r="O61" s="19">
        <f t="shared" si="33"/>
        <v>64952600.519999996</v>
      </c>
      <c r="P61" s="19">
        <f t="shared" si="33"/>
        <v>52800832.349999994</v>
      </c>
      <c r="Q61" s="19">
        <f t="shared" si="33"/>
        <v>52800832.349999994</v>
      </c>
      <c r="R61" s="19">
        <f t="shared" si="33"/>
        <v>52800832.349999994</v>
      </c>
      <c r="S61" s="19">
        <f t="shared" si="33"/>
        <v>52800832.349999994</v>
      </c>
      <c r="T61" s="19" t="s">
        <v>38</v>
      </c>
    </row>
    <row r="62" spans="1:20" x14ac:dyDescent="0.25">
      <c r="A62" s="13">
        <v>47</v>
      </c>
      <c r="B62" s="14" t="s">
        <v>22</v>
      </c>
      <c r="C62" s="19">
        <f t="shared" si="31"/>
        <v>1879316.74</v>
      </c>
      <c r="D62" s="19">
        <v>0</v>
      </c>
      <c r="E62" s="19">
        <v>0</v>
      </c>
      <c r="F62" s="19">
        <v>0</v>
      </c>
      <c r="G62" s="19">
        <f>1879316.74</f>
        <v>1879316.74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5"/>
    </row>
    <row r="63" spans="1:20" x14ac:dyDescent="0.25">
      <c r="A63" s="13">
        <v>48</v>
      </c>
      <c r="B63" s="14" t="s">
        <v>23</v>
      </c>
      <c r="C63" s="19">
        <f t="shared" si="31"/>
        <v>774912011.05999994</v>
      </c>
      <c r="D63" s="19">
        <f>24651584.43+472792+993098.82+31587.87+3288406.66-426000-15210.02</f>
        <v>28996259.760000002</v>
      </c>
      <c r="E63" s="22">
        <f>28774255.33+24000+334509.17</f>
        <v>29132764.5</v>
      </c>
      <c r="F63" s="22">
        <f>23635424.07+678407.27+50500+1087561.61+3106327.11</f>
        <v>28558220.059999999</v>
      </c>
      <c r="G63" s="19">
        <f>47100395.79-1879316.74</f>
        <v>45221079.049999997</v>
      </c>
      <c r="H63" s="19">
        <v>0</v>
      </c>
      <c r="I63" s="19">
        <f>61836227.98+2554996.39</f>
        <v>64391224.369999997</v>
      </c>
      <c r="J63" s="19">
        <f>63945349.54-5354072.12+6036187.66+31863.78+66879.4</f>
        <v>64726208.259999998</v>
      </c>
      <c r="K63" s="19">
        <f>65932567.99+1053832.67</f>
        <v>66986400.660000004</v>
      </c>
      <c r="L63" s="19">
        <f>61706595.42+7059076.09</f>
        <v>68765671.510000005</v>
      </c>
      <c r="M63" s="19">
        <f>70430652.08-14922376.9+3666936.17+3692353.89</f>
        <v>62867565.240000002</v>
      </c>
      <c r="N63" s="19">
        <f>34835543.96+10520334.28+11549368.85+7723407.84</f>
        <v>64628654.930000007</v>
      </c>
      <c r="O63" s="19">
        <f>33395886.63+10085557.76+11549368.85+4818193.84</f>
        <v>59849007.079999998</v>
      </c>
      <c r="P63" s="19">
        <f>24062731.35+7266944.87+11549368.85+4818193.84</f>
        <v>47697238.909999996</v>
      </c>
      <c r="Q63" s="19">
        <f t="shared" ref="Q63:S63" si="34">24062731.35+7266944.87+11549368.85+4818193.84</f>
        <v>47697238.909999996</v>
      </c>
      <c r="R63" s="19">
        <f t="shared" si="34"/>
        <v>47697238.909999996</v>
      </c>
      <c r="S63" s="19">
        <f t="shared" si="34"/>
        <v>47697238.909999996</v>
      </c>
      <c r="T63" s="15"/>
    </row>
    <row r="64" spans="1:20" ht="29.25" x14ac:dyDescent="0.25">
      <c r="A64" s="13">
        <v>49</v>
      </c>
      <c r="B64" s="14" t="s">
        <v>24</v>
      </c>
      <c r="C64" s="19">
        <f t="shared" si="31"/>
        <v>80078035.609999985</v>
      </c>
      <c r="D64" s="19">
        <f>450000+217987+623042-45000+90000</f>
        <v>1336029</v>
      </c>
      <c r="E64" s="19">
        <f>D64*1.05+275466.73+119461.67</f>
        <v>1797758.8499999999</v>
      </c>
      <c r="F64" s="19">
        <v>1558116.33</v>
      </c>
      <c r="G64" s="19">
        <v>8784689.0800000001</v>
      </c>
      <c r="H64" s="19">
        <v>0</v>
      </c>
      <c r="I64" s="19">
        <v>6195238.4000000004</v>
      </c>
      <c r="J64" s="19">
        <v>6517578.6900000004</v>
      </c>
      <c r="K64" s="19">
        <v>7075010.2400000002</v>
      </c>
      <c r="L64" s="19">
        <v>9900816.3599999994</v>
      </c>
      <c r="M64" s="19">
        <v>6291238.0199999996</v>
      </c>
      <c r="N64" s="19">
        <v>5103593.4400000004</v>
      </c>
      <c r="O64" s="19">
        <v>5103593.4400000004</v>
      </c>
      <c r="P64" s="19">
        <v>5103593.4400000004</v>
      </c>
      <c r="Q64" s="19">
        <v>5103593.4400000004</v>
      </c>
      <c r="R64" s="19">
        <v>5103593.4400000004</v>
      </c>
      <c r="S64" s="19">
        <v>5103593.4400000004</v>
      </c>
      <c r="T64" s="15"/>
    </row>
    <row r="65" spans="1:20" ht="116.25" customHeight="1" x14ac:dyDescent="0.25">
      <c r="A65" s="13">
        <v>50</v>
      </c>
      <c r="B65" s="32" t="s">
        <v>85</v>
      </c>
      <c r="C65" s="19">
        <f t="shared" si="31"/>
        <v>11828526.039999999</v>
      </c>
      <c r="D65" s="19">
        <f t="shared" ref="D65:S65" si="35">SUM(D66:D68)</f>
        <v>1520702.01</v>
      </c>
      <c r="E65" s="19">
        <f t="shared" si="35"/>
        <v>1484519.55</v>
      </c>
      <c r="F65" s="19">
        <f t="shared" si="35"/>
        <v>1477607.23</v>
      </c>
      <c r="G65" s="19">
        <f t="shared" si="35"/>
        <v>1626272.15</v>
      </c>
      <c r="H65" s="19">
        <f t="shared" si="35"/>
        <v>0</v>
      </c>
      <c r="I65" s="19">
        <f t="shared" si="35"/>
        <v>444580</v>
      </c>
      <c r="J65" s="19">
        <f t="shared" si="35"/>
        <v>302188</v>
      </c>
      <c r="K65" s="19">
        <f t="shared" si="35"/>
        <v>367273</v>
      </c>
      <c r="L65" s="19">
        <f t="shared" si="35"/>
        <v>619151.99</v>
      </c>
      <c r="M65" s="19">
        <f t="shared" si="35"/>
        <v>752992.11</v>
      </c>
      <c r="N65" s="19">
        <f t="shared" si="35"/>
        <v>560940</v>
      </c>
      <c r="O65" s="19">
        <f t="shared" si="35"/>
        <v>534460</v>
      </c>
      <c r="P65" s="19">
        <f t="shared" si="35"/>
        <v>534460</v>
      </c>
      <c r="Q65" s="19">
        <f t="shared" si="35"/>
        <v>534460</v>
      </c>
      <c r="R65" s="19">
        <f t="shared" si="35"/>
        <v>534460</v>
      </c>
      <c r="S65" s="19">
        <f t="shared" si="35"/>
        <v>534460</v>
      </c>
      <c r="T65" s="15" t="s">
        <v>39</v>
      </c>
    </row>
    <row r="66" spans="1:20" x14ac:dyDescent="0.25">
      <c r="A66" s="13">
        <v>51</v>
      </c>
      <c r="B66" s="14" t="s">
        <v>22</v>
      </c>
      <c r="C66" s="19">
        <f t="shared" si="31"/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5"/>
    </row>
    <row r="67" spans="1:20" x14ac:dyDescent="0.25">
      <c r="A67" s="13">
        <v>52</v>
      </c>
      <c r="B67" s="14" t="s">
        <v>23</v>
      </c>
      <c r="C67" s="19">
        <f t="shared" si="31"/>
        <v>3852891.74</v>
      </c>
      <c r="D67" s="19">
        <f>885216.01+31515</f>
        <v>916731.01</v>
      </c>
      <c r="E67" s="22">
        <v>850350</v>
      </c>
      <c r="F67" s="19">
        <f>800000+45756+82321.23</f>
        <v>928077.23</v>
      </c>
      <c r="G67" s="19">
        <f>1200000-42266.5</f>
        <v>1157733.5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5"/>
    </row>
    <row r="68" spans="1:20" ht="29.25" x14ac:dyDescent="0.25">
      <c r="A68" s="13">
        <v>53</v>
      </c>
      <c r="B68" s="14" t="s">
        <v>24</v>
      </c>
      <c r="C68" s="19">
        <f t="shared" si="31"/>
        <v>7975634.3000000007</v>
      </c>
      <c r="D68" s="19">
        <f>303971+300000</f>
        <v>603971</v>
      </c>
      <c r="E68" s="19">
        <f>D68*1.05</f>
        <v>634169.55000000005</v>
      </c>
      <c r="F68" s="19">
        <v>549530</v>
      </c>
      <c r="G68" s="19">
        <v>468538.65</v>
      </c>
      <c r="H68" s="19">
        <v>0</v>
      </c>
      <c r="I68" s="19">
        <v>444580</v>
      </c>
      <c r="J68" s="19">
        <v>302188</v>
      </c>
      <c r="K68" s="19">
        <v>367273</v>
      </c>
      <c r="L68" s="19">
        <v>619151.99</v>
      </c>
      <c r="M68" s="19">
        <v>752992.11</v>
      </c>
      <c r="N68" s="19">
        <v>560940</v>
      </c>
      <c r="O68" s="19">
        <v>534460</v>
      </c>
      <c r="P68" s="19">
        <v>534460</v>
      </c>
      <c r="Q68" s="19">
        <v>534460</v>
      </c>
      <c r="R68" s="19">
        <v>534460</v>
      </c>
      <c r="S68" s="19">
        <v>534460</v>
      </c>
      <c r="T68" s="15"/>
    </row>
    <row r="69" spans="1:20" ht="167.25" customHeight="1" x14ac:dyDescent="0.25">
      <c r="A69" s="13">
        <v>54</v>
      </c>
      <c r="B69" s="33" t="s">
        <v>86</v>
      </c>
      <c r="C69" s="19">
        <f t="shared" si="31"/>
        <v>22331916.050000001</v>
      </c>
      <c r="D69" s="19">
        <f t="shared" ref="D69:S69" si="36">SUM(D70:D72)</f>
        <v>0</v>
      </c>
      <c r="E69" s="19">
        <f t="shared" si="36"/>
        <v>0</v>
      </c>
      <c r="F69" s="19">
        <f t="shared" si="36"/>
        <v>0</v>
      </c>
      <c r="G69" s="19">
        <f t="shared" si="36"/>
        <v>0</v>
      </c>
      <c r="H69" s="19">
        <f t="shared" si="36"/>
        <v>2946775.96</v>
      </c>
      <c r="I69" s="19">
        <f t="shared" si="36"/>
        <v>850368.1</v>
      </c>
      <c r="J69" s="19">
        <f t="shared" si="36"/>
        <v>1077244.07</v>
      </c>
      <c r="K69" s="19">
        <f t="shared" si="36"/>
        <v>761629.2</v>
      </c>
      <c r="L69" s="19">
        <f t="shared" si="36"/>
        <v>3054248</v>
      </c>
      <c r="M69" s="19">
        <f t="shared" si="36"/>
        <v>5493043.4900000002</v>
      </c>
      <c r="N69" s="19">
        <f t="shared" si="36"/>
        <v>2758607.23</v>
      </c>
      <c r="O69" s="19">
        <f t="shared" si="36"/>
        <v>1078000</v>
      </c>
      <c r="P69" s="19">
        <f t="shared" si="36"/>
        <v>1078000</v>
      </c>
      <c r="Q69" s="19">
        <f t="shared" si="36"/>
        <v>1078000</v>
      </c>
      <c r="R69" s="19">
        <f t="shared" si="36"/>
        <v>1078000</v>
      </c>
      <c r="S69" s="19">
        <f t="shared" si="36"/>
        <v>1078000</v>
      </c>
      <c r="T69" s="15" t="s">
        <v>39</v>
      </c>
    </row>
    <row r="70" spans="1:20" x14ac:dyDescent="0.25">
      <c r="A70" s="13">
        <v>55</v>
      </c>
      <c r="B70" s="14" t="s">
        <v>22</v>
      </c>
      <c r="C70" s="19">
        <f t="shared" si="31"/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5"/>
    </row>
    <row r="71" spans="1:20" x14ac:dyDescent="0.25">
      <c r="A71" s="13">
        <v>56</v>
      </c>
      <c r="B71" s="14" t="s">
        <v>23</v>
      </c>
      <c r="C71" s="19">
        <f t="shared" si="31"/>
        <v>4379441.41</v>
      </c>
      <c r="D71" s="19">
        <v>0</v>
      </c>
      <c r="E71" s="19">
        <v>0</v>
      </c>
      <c r="F71" s="19">
        <v>0</v>
      </c>
      <c r="G71" s="19">
        <v>0</v>
      </c>
      <c r="H71" s="19">
        <f>1500000+315880</f>
        <v>1815880</v>
      </c>
      <c r="I71" s="19">
        <f>602369.5-2001.4</f>
        <v>600368.1</v>
      </c>
      <c r="J71" s="19">
        <f>2806440-2806440</f>
        <v>0</v>
      </c>
      <c r="K71" s="19">
        <f>2806440-2806440</f>
        <v>0</v>
      </c>
      <c r="L71" s="19">
        <v>504000</v>
      </c>
      <c r="M71" s="19">
        <f>540666.65+250000+288960</f>
        <v>1079626.6499999999</v>
      </c>
      <c r="N71" s="19">
        <f>379566.66</f>
        <v>379566.66</v>
      </c>
      <c r="O71" s="19">
        <f t="shared" ref="O71:S71" si="37">2806440-2806440</f>
        <v>0</v>
      </c>
      <c r="P71" s="19">
        <f t="shared" si="37"/>
        <v>0</v>
      </c>
      <c r="Q71" s="19">
        <f t="shared" si="37"/>
        <v>0</v>
      </c>
      <c r="R71" s="19">
        <f t="shared" si="37"/>
        <v>0</v>
      </c>
      <c r="S71" s="19">
        <f t="shared" si="37"/>
        <v>0</v>
      </c>
      <c r="T71" s="15"/>
    </row>
    <row r="72" spans="1:20" ht="29.25" x14ac:dyDescent="0.25">
      <c r="A72" s="13">
        <v>57</v>
      </c>
      <c r="B72" s="14" t="s">
        <v>24</v>
      </c>
      <c r="C72" s="19">
        <f t="shared" si="31"/>
        <v>17952474.640000001</v>
      </c>
      <c r="D72" s="19">
        <v>0</v>
      </c>
      <c r="E72" s="19">
        <v>0</v>
      </c>
      <c r="F72" s="19">
        <v>0</v>
      </c>
      <c r="G72" s="19">
        <f>F72</f>
        <v>0</v>
      </c>
      <c r="H72" s="19">
        <f>718536.15+411702+10657.81-10000</f>
        <v>1130895.96</v>
      </c>
      <c r="I72" s="19">
        <v>250000</v>
      </c>
      <c r="J72" s="19">
        <v>1077244.07</v>
      </c>
      <c r="K72" s="19">
        <v>761629.2</v>
      </c>
      <c r="L72" s="19">
        <v>2550248</v>
      </c>
      <c r="M72" s="19">
        <v>4413416.84</v>
      </c>
      <c r="N72" s="19">
        <v>2379040.5699999998</v>
      </c>
      <c r="O72" s="19">
        <v>1078000</v>
      </c>
      <c r="P72" s="19">
        <v>1078000</v>
      </c>
      <c r="Q72" s="19">
        <v>1078000</v>
      </c>
      <c r="R72" s="19">
        <v>1078000</v>
      </c>
      <c r="S72" s="19">
        <v>1078000</v>
      </c>
      <c r="T72" s="15"/>
    </row>
    <row r="73" spans="1:20" ht="153" customHeight="1" x14ac:dyDescent="0.25">
      <c r="A73" s="13">
        <v>58</v>
      </c>
      <c r="B73" s="33" t="s">
        <v>87</v>
      </c>
      <c r="C73" s="19">
        <f t="shared" si="31"/>
        <v>269400</v>
      </c>
      <c r="D73" s="19">
        <f t="shared" ref="D73:S73" si="38">SUM(D74:D76)</f>
        <v>207500</v>
      </c>
      <c r="E73" s="19">
        <f t="shared" si="38"/>
        <v>21900</v>
      </c>
      <c r="F73" s="19">
        <f t="shared" si="38"/>
        <v>10000</v>
      </c>
      <c r="G73" s="19">
        <f t="shared" si="38"/>
        <v>10000</v>
      </c>
      <c r="H73" s="19">
        <f t="shared" si="38"/>
        <v>10000</v>
      </c>
      <c r="I73" s="19">
        <f t="shared" si="38"/>
        <v>10000</v>
      </c>
      <c r="J73" s="19">
        <f t="shared" si="38"/>
        <v>0</v>
      </c>
      <c r="K73" s="19">
        <f t="shared" si="38"/>
        <v>0</v>
      </c>
      <c r="L73" s="19">
        <f t="shared" si="38"/>
        <v>0</v>
      </c>
      <c r="M73" s="19">
        <f t="shared" si="38"/>
        <v>0</v>
      </c>
      <c r="N73" s="19">
        <f t="shared" si="38"/>
        <v>0</v>
      </c>
      <c r="O73" s="19">
        <f t="shared" si="38"/>
        <v>0</v>
      </c>
      <c r="P73" s="19">
        <f t="shared" si="38"/>
        <v>0</v>
      </c>
      <c r="Q73" s="19">
        <f t="shared" si="38"/>
        <v>0</v>
      </c>
      <c r="R73" s="19">
        <f t="shared" si="38"/>
        <v>0</v>
      </c>
      <c r="S73" s="19">
        <f t="shared" si="38"/>
        <v>0</v>
      </c>
      <c r="T73" s="15" t="s">
        <v>40</v>
      </c>
    </row>
    <row r="74" spans="1:20" x14ac:dyDescent="0.25">
      <c r="A74" s="13">
        <v>59</v>
      </c>
      <c r="B74" s="14" t="s">
        <v>22</v>
      </c>
      <c r="C74" s="19">
        <f t="shared" si="31"/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23"/>
    </row>
    <row r="75" spans="1:20" x14ac:dyDescent="0.25">
      <c r="A75" s="13">
        <v>60</v>
      </c>
      <c r="B75" s="14" t="s">
        <v>23</v>
      </c>
      <c r="C75" s="19">
        <f t="shared" si="31"/>
        <v>19400</v>
      </c>
      <c r="D75" s="19">
        <v>7500</v>
      </c>
      <c r="E75" s="22">
        <v>11900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5"/>
    </row>
    <row r="76" spans="1:20" ht="29.25" x14ac:dyDescent="0.25">
      <c r="A76" s="13">
        <v>61</v>
      </c>
      <c r="B76" s="14" t="s">
        <v>24</v>
      </c>
      <c r="C76" s="19">
        <f t="shared" si="31"/>
        <v>250000</v>
      </c>
      <c r="D76" s="19">
        <v>200000</v>
      </c>
      <c r="E76" s="19">
        <v>10000</v>
      </c>
      <c r="F76" s="19">
        <v>10000</v>
      </c>
      <c r="G76" s="19">
        <v>10000</v>
      </c>
      <c r="H76" s="19">
        <v>10000</v>
      </c>
      <c r="I76" s="19">
        <v>10000</v>
      </c>
      <c r="J76" s="19">
        <f>10000-10000</f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5"/>
    </row>
    <row r="77" spans="1:20" ht="162" customHeight="1" x14ac:dyDescent="0.25">
      <c r="A77" s="13">
        <v>62</v>
      </c>
      <c r="B77" s="33" t="s">
        <v>88</v>
      </c>
      <c r="C77" s="19">
        <f t="shared" si="31"/>
        <v>15612736.77</v>
      </c>
      <c r="D77" s="19">
        <f t="shared" ref="D77:S77" si="39">SUM(D78:D80)</f>
        <v>0</v>
      </c>
      <c r="E77" s="19">
        <f t="shared" si="39"/>
        <v>314480</v>
      </c>
      <c r="F77" s="19">
        <f t="shared" si="39"/>
        <v>200000</v>
      </c>
      <c r="G77" s="19">
        <f t="shared" si="39"/>
        <v>200000</v>
      </c>
      <c r="H77" s="19">
        <f t="shared" si="39"/>
        <v>2375911.9899999998</v>
      </c>
      <c r="I77" s="19">
        <f t="shared" si="39"/>
        <v>979490.87</v>
      </c>
      <c r="J77" s="19">
        <f t="shared" si="39"/>
        <v>248512</v>
      </c>
      <c r="K77" s="19">
        <f t="shared" si="39"/>
        <v>904028.57</v>
      </c>
      <c r="L77" s="19">
        <f t="shared" si="39"/>
        <v>678788</v>
      </c>
      <c r="M77" s="19">
        <f t="shared" si="39"/>
        <v>2262825.34</v>
      </c>
      <c r="N77" s="19">
        <f t="shared" si="39"/>
        <v>1606450</v>
      </c>
      <c r="O77" s="19">
        <f t="shared" si="39"/>
        <v>1168450</v>
      </c>
      <c r="P77" s="19">
        <f t="shared" si="39"/>
        <v>1168450</v>
      </c>
      <c r="Q77" s="19">
        <f t="shared" si="39"/>
        <v>1168450</v>
      </c>
      <c r="R77" s="19">
        <f t="shared" si="39"/>
        <v>1168450</v>
      </c>
      <c r="S77" s="19">
        <f t="shared" si="39"/>
        <v>1168450</v>
      </c>
      <c r="T77" s="15" t="s">
        <v>41</v>
      </c>
    </row>
    <row r="78" spans="1:20" x14ac:dyDescent="0.25">
      <c r="A78" s="13">
        <v>63</v>
      </c>
      <c r="B78" s="14" t="s">
        <v>22</v>
      </c>
      <c r="C78" s="19">
        <f t="shared" si="31"/>
        <v>134280</v>
      </c>
      <c r="D78" s="19">
        <v>0</v>
      </c>
      <c r="E78" s="19">
        <v>0</v>
      </c>
      <c r="F78" s="19">
        <v>0</v>
      </c>
      <c r="G78" s="19">
        <v>0</v>
      </c>
      <c r="H78" s="19">
        <f>50000+29280</f>
        <v>79280</v>
      </c>
      <c r="I78" s="19">
        <v>0</v>
      </c>
      <c r="J78" s="19">
        <v>0</v>
      </c>
      <c r="K78" s="19">
        <v>0</v>
      </c>
      <c r="L78" s="19">
        <v>0</v>
      </c>
      <c r="M78" s="19">
        <f>55000</f>
        <v>55000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23"/>
    </row>
    <row r="79" spans="1:20" x14ac:dyDescent="0.25">
      <c r="A79" s="13">
        <v>64</v>
      </c>
      <c r="B79" s="14" t="s">
        <v>23</v>
      </c>
      <c r="C79" s="19">
        <f t="shared" si="31"/>
        <v>1244980</v>
      </c>
      <c r="D79" s="19">
        <v>0</v>
      </c>
      <c r="E79" s="22">
        <v>114480</v>
      </c>
      <c r="F79" s="19">
        <v>0</v>
      </c>
      <c r="G79" s="19">
        <v>0</v>
      </c>
      <c r="H79" s="19">
        <f>34500</f>
        <v>34500</v>
      </c>
      <c r="I79" s="19">
        <v>0</v>
      </c>
      <c r="J79" s="19">
        <v>0</v>
      </c>
      <c r="K79" s="19">
        <v>0</v>
      </c>
      <c r="L79" s="19">
        <v>0</v>
      </c>
      <c r="M79" s="19">
        <f>350000+308000</f>
        <v>658000</v>
      </c>
      <c r="N79" s="19">
        <f>130000+308000</f>
        <v>438000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5"/>
    </row>
    <row r="80" spans="1:20" ht="29.25" x14ac:dyDescent="0.25">
      <c r="A80" s="13">
        <v>65</v>
      </c>
      <c r="B80" s="14" t="s">
        <v>24</v>
      </c>
      <c r="C80" s="19">
        <f t="shared" si="31"/>
        <v>14233476.77</v>
      </c>
      <c r="D80" s="19">
        <v>0</v>
      </c>
      <c r="E80" s="19">
        <v>200000</v>
      </c>
      <c r="F80" s="19">
        <v>200000</v>
      </c>
      <c r="G80" s="19">
        <f>200000</f>
        <v>200000</v>
      </c>
      <c r="H80" s="19">
        <f>1413270.13+844459.86+4402</f>
        <v>2262131.9899999998</v>
      </c>
      <c r="I80" s="19">
        <v>979490.87</v>
      </c>
      <c r="J80" s="19">
        <v>248512</v>
      </c>
      <c r="K80" s="19">
        <v>904028.57</v>
      </c>
      <c r="L80" s="19">
        <v>678788</v>
      </c>
      <c r="M80" s="19">
        <v>1549825.34</v>
      </c>
      <c r="N80" s="19">
        <v>1168450</v>
      </c>
      <c r="O80" s="19">
        <v>1168450</v>
      </c>
      <c r="P80" s="19">
        <v>1168450</v>
      </c>
      <c r="Q80" s="19">
        <v>1168450</v>
      </c>
      <c r="R80" s="19">
        <v>1168450</v>
      </c>
      <c r="S80" s="19">
        <v>1168450</v>
      </c>
      <c r="T80" s="15"/>
    </row>
    <row r="81" spans="1:21" ht="171" customHeight="1" x14ac:dyDescent="0.25">
      <c r="A81" s="13">
        <v>66</v>
      </c>
      <c r="B81" s="32" t="s">
        <v>100</v>
      </c>
      <c r="C81" s="19">
        <f t="shared" si="31"/>
        <v>2889550</v>
      </c>
      <c r="D81" s="19">
        <f t="shared" ref="D81:S81" si="40">D82+D83+D84</f>
        <v>0</v>
      </c>
      <c r="E81" s="19">
        <f t="shared" si="40"/>
        <v>0</v>
      </c>
      <c r="F81" s="19">
        <f t="shared" si="40"/>
        <v>398000</v>
      </c>
      <c r="G81" s="19">
        <f t="shared" si="40"/>
        <v>379000</v>
      </c>
      <c r="H81" s="19">
        <f t="shared" si="40"/>
        <v>258550</v>
      </c>
      <c r="I81" s="19">
        <f t="shared" si="40"/>
        <v>170700</v>
      </c>
      <c r="J81" s="19">
        <f t="shared" si="40"/>
        <v>345400</v>
      </c>
      <c r="K81" s="19">
        <f t="shared" si="40"/>
        <v>355200</v>
      </c>
      <c r="L81" s="19">
        <f t="shared" si="40"/>
        <v>349800</v>
      </c>
      <c r="M81" s="19">
        <f t="shared" si="40"/>
        <v>349800</v>
      </c>
      <c r="N81" s="19">
        <f t="shared" si="40"/>
        <v>283100</v>
      </c>
      <c r="O81" s="19">
        <f t="shared" si="40"/>
        <v>0</v>
      </c>
      <c r="P81" s="19">
        <f t="shared" si="40"/>
        <v>0</v>
      </c>
      <c r="Q81" s="19">
        <f t="shared" si="40"/>
        <v>0</v>
      </c>
      <c r="R81" s="19">
        <f t="shared" si="40"/>
        <v>0</v>
      </c>
      <c r="S81" s="19">
        <f t="shared" si="40"/>
        <v>0</v>
      </c>
      <c r="T81" s="15" t="s">
        <v>42</v>
      </c>
    </row>
    <row r="82" spans="1:21" x14ac:dyDescent="0.25">
      <c r="A82" s="13">
        <v>67</v>
      </c>
      <c r="B82" s="14" t="s">
        <v>22</v>
      </c>
      <c r="C82" s="19">
        <f t="shared" si="31"/>
        <v>2018200</v>
      </c>
      <c r="D82" s="19">
        <v>0</v>
      </c>
      <c r="E82" s="19">
        <v>0</v>
      </c>
      <c r="F82" s="19">
        <v>268800</v>
      </c>
      <c r="G82" s="19">
        <v>249100</v>
      </c>
      <c r="H82" s="19">
        <f>161000</f>
        <v>161000</v>
      </c>
      <c r="I82" s="19">
        <f>119500</f>
        <v>119500</v>
      </c>
      <c r="J82" s="19">
        <v>241800</v>
      </c>
      <c r="K82" s="19">
        <v>247800</v>
      </c>
      <c r="L82" s="19">
        <v>244800</v>
      </c>
      <c r="M82" s="19">
        <v>244800</v>
      </c>
      <c r="N82" s="19">
        <f>120300*2</f>
        <v>240600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5"/>
    </row>
    <row r="83" spans="1:21" x14ac:dyDescent="0.25">
      <c r="A83" s="13">
        <v>68</v>
      </c>
      <c r="B83" s="14" t="s">
        <v>23</v>
      </c>
      <c r="C83" s="19">
        <f t="shared" si="31"/>
        <v>871350</v>
      </c>
      <c r="D83" s="19">
        <v>0</v>
      </c>
      <c r="E83" s="19">
        <v>0</v>
      </c>
      <c r="F83" s="19">
        <f>129200</f>
        <v>129200</v>
      </c>
      <c r="G83" s="19">
        <v>129900</v>
      </c>
      <c r="H83" s="19">
        <v>97550</v>
      </c>
      <c r="I83" s="19">
        <f>51200</f>
        <v>51200</v>
      </c>
      <c r="J83" s="19">
        <v>103600</v>
      </c>
      <c r="K83" s="19">
        <f>53700*2</f>
        <v>107400</v>
      </c>
      <c r="L83" s="19">
        <v>105000</v>
      </c>
      <c r="M83" s="19">
        <v>105000</v>
      </c>
      <c r="N83" s="19">
        <f>21250*2</f>
        <v>42500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5"/>
    </row>
    <row r="84" spans="1:21" ht="29.25" x14ac:dyDescent="0.25">
      <c r="A84" s="13">
        <v>69</v>
      </c>
      <c r="B84" s="14" t="s">
        <v>24</v>
      </c>
      <c r="C84" s="19">
        <f t="shared" si="31"/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5"/>
    </row>
    <row r="85" spans="1:21" ht="185.25" customHeight="1" x14ac:dyDescent="0.25">
      <c r="A85" s="13">
        <v>70</v>
      </c>
      <c r="B85" s="32" t="s">
        <v>143</v>
      </c>
      <c r="C85" s="19">
        <f t="shared" si="31"/>
        <v>30101875.520000007</v>
      </c>
      <c r="D85" s="19">
        <f t="shared" ref="D85:S85" si="41">D86+D87+D88</f>
        <v>0</v>
      </c>
      <c r="E85" s="19">
        <f t="shared" si="41"/>
        <v>0</v>
      </c>
      <c r="F85" s="19">
        <f t="shared" si="41"/>
        <v>149500</v>
      </c>
      <c r="G85" s="19">
        <f t="shared" si="41"/>
        <v>0</v>
      </c>
      <c r="H85" s="19">
        <f t="shared" si="41"/>
        <v>5663303.7000000002</v>
      </c>
      <c r="I85" s="19">
        <f t="shared" si="41"/>
        <v>2623054.7000000002</v>
      </c>
      <c r="J85" s="19">
        <f t="shared" si="41"/>
        <v>1788256.47</v>
      </c>
      <c r="K85" s="19">
        <f t="shared" si="41"/>
        <v>921234.38</v>
      </c>
      <c r="L85" s="19">
        <f t="shared" si="41"/>
        <v>2555796.91</v>
      </c>
      <c r="M85" s="19">
        <f t="shared" si="41"/>
        <v>1207183.1000000001</v>
      </c>
      <c r="N85" s="19">
        <f t="shared" si="41"/>
        <v>9333772.3599999994</v>
      </c>
      <c r="O85" s="19">
        <f t="shared" si="41"/>
        <v>1171954.78</v>
      </c>
      <c r="P85" s="19">
        <f t="shared" si="41"/>
        <v>1171954.78</v>
      </c>
      <c r="Q85" s="19">
        <f t="shared" si="41"/>
        <v>1171954.78</v>
      </c>
      <c r="R85" s="19">
        <f t="shared" si="41"/>
        <v>1171954.78</v>
      </c>
      <c r="S85" s="19">
        <f t="shared" si="41"/>
        <v>1171954.78</v>
      </c>
      <c r="T85" s="15" t="s">
        <v>43</v>
      </c>
    </row>
    <row r="86" spans="1:21" ht="15.75" customHeight="1" x14ac:dyDescent="0.25">
      <c r="A86" s="13">
        <v>71</v>
      </c>
      <c r="B86" s="14" t="s">
        <v>22</v>
      </c>
      <c r="C86" s="19">
        <f t="shared" si="31"/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5"/>
    </row>
    <row r="87" spans="1:21" ht="15.75" customHeight="1" x14ac:dyDescent="0.25">
      <c r="A87" s="13">
        <v>72</v>
      </c>
      <c r="B87" s="14" t="s">
        <v>23</v>
      </c>
      <c r="C87" s="19">
        <f t="shared" si="31"/>
        <v>11870698.59</v>
      </c>
      <c r="D87" s="19">
        <v>0</v>
      </c>
      <c r="E87" s="19">
        <v>0</v>
      </c>
      <c r="F87" s="19">
        <v>149500</v>
      </c>
      <c r="G87" s="19">
        <v>0</v>
      </c>
      <c r="H87" s="19">
        <v>0</v>
      </c>
      <c r="I87" s="19">
        <v>0</v>
      </c>
      <c r="J87" s="19">
        <f>1103560-30214-19076</f>
        <v>1054270</v>
      </c>
      <c r="K87" s="19">
        <f>336952+59000</f>
        <v>395952</v>
      </c>
      <c r="L87" s="19">
        <f>1021950+934745.4+41523.36-227059.75</f>
        <v>1771159.01</v>
      </c>
      <c r="M87" s="19">
        <f>338000</f>
        <v>338000</v>
      </c>
      <c r="N87" s="19">
        <v>8161817.5800000001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5"/>
    </row>
    <row r="88" spans="1:21" ht="33.75" customHeight="1" x14ac:dyDescent="0.25">
      <c r="A88" s="13">
        <v>73</v>
      </c>
      <c r="B88" s="14" t="s">
        <v>24</v>
      </c>
      <c r="C88" s="19">
        <f t="shared" si="31"/>
        <v>18231176.93</v>
      </c>
      <c r="D88" s="19">
        <v>0</v>
      </c>
      <c r="E88" s="19">
        <v>0</v>
      </c>
      <c r="F88" s="19">
        <v>0</v>
      </c>
      <c r="G88" s="19">
        <v>0</v>
      </c>
      <c r="H88" s="19">
        <f>5324653.7+338650</f>
        <v>5663303.7000000002</v>
      </c>
      <c r="I88" s="19">
        <v>2623054.7000000002</v>
      </c>
      <c r="J88" s="19">
        <v>733986.47</v>
      </c>
      <c r="K88" s="19">
        <v>525282.38</v>
      </c>
      <c r="L88" s="19">
        <v>784637.9</v>
      </c>
      <c r="M88" s="19">
        <v>869183.1</v>
      </c>
      <c r="N88" s="19">
        <v>1171954.78</v>
      </c>
      <c r="O88" s="19">
        <v>1171954.78</v>
      </c>
      <c r="P88" s="19">
        <v>1171954.78</v>
      </c>
      <c r="Q88" s="19">
        <v>1171954.78</v>
      </c>
      <c r="R88" s="19">
        <v>1171954.78</v>
      </c>
      <c r="S88" s="19">
        <v>1171954.78</v>
      </c>
      <c r="T88" s="15"/>
    </row>
    <row r="89" spans="1:21" ht="145.5" customHeight="1" x14ac:dyDescent="0.25">
      <c r="A89" s="13">
        <v>74</v>
      </c>
      <c r="B89" s="32" t="s">
        <v>89</v>
      </c>
      <c r="C89" s="19">
        <f t="shared" si="31"/>
        <v>722942.58000000007</v>
      </c>
      <c r="D89" s="19">
        <v>0</v>
      </c>
      <c r="E89" s="19">
        <v>0</v>
      </c>
      <c r="F89" s="19">
        <f>F90+F91+F92</f>
        <v>163466.58000000002</v>
      </c>
      <c r="G89" s="19">
        <f>G90+G91+G97</f>
        <v>113000</v>
      </c>
      <c r="H89" s="19">
        <f>H90+H91+H97</f>
        <v>339626</v>
      </c>
      <c r="I89" s="19">
        <v>0</v>
      </c>
      <c r="J89" s="19">
        <v>0</v>
      </c>
      <c r="K89" s="19">
        <f>SUM(K90:K92)</f>
        <v>106850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5" t="s">
        <v>44</v>
      </c>
      <c r="U89" s="6"/>
    </row>
    <row r="90" spans="1:21" x14ac:dyDescent="0.25">
      <c r="A90" s="13">
        <v>75</v>
      </c>
      <c r="B90" s="14" t="s">
        <v>22</v>
      </c>
      <c r="C90" s="19">
        <f t="shared" si="31"/>
        <v>183600</v>
      </c>
      <c r="D90" s="19">
        <v>0</v>
      </c>
      <c r="E90" s="19">
        <v>0</v>
      </c>
      <c r="F90" s="19">
        <v>81700</v>
      </c>
      <c r="G90" s="19">
        <v>0</v>
      </c>
      <c r="H90" s="19">
        <v>101900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5"/>
      <c r="U90" s="6"/>
    </row>
    <row r="91" spans="1:21" x14ac:dyDescent="0.25">
      <c r="A91" s="13">
        <v>76</v>
      </c>
      <c r="B91" s="14" t="s">
        <v>23</v>
      </c>
      <c r="C91" s="19">
        <f t="shared" si="31"/>
        <v>539342.57999999996</v>
      </c>
      <c r="D91" s="19">
        <v>0</v>
      </c>
      <c r="E91" s="19">
        <v>0</v>
      </c>
      <c r="F91" s="19">
        <f>81700+66.58</f>
        <v>81766.58</v>
      </c>
      <c r="G91" s="19">
        <f>42266.5-42266.5+113000</f>
        <v>113000</v>
      </c>
      <c r="H91" s="19">
        <f>87811.54+70000+14088.46-70000+135826</f>
        <v>237725.99999999997</v>
      </c>
      <c r="I91" s="19">
        <v>0</v>
      </c>
      <c r="J91" s="19">
        <v>0</v>
      </c>
      <c r="K91" s="19">
        <v>106850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5"/>
      <c r="U91" s="6"/>
    </row>
    <row r="92" spans="1:21" ht="29.25" x14ac:dyDescent="0.25">
      <c r="A92" s="13">
        <v>77</v>
      </c>
      <c r="B92" s="14" t="s">
        <v>24</v>
      </c>
      <c r="C92" s="19">
        <f t="shared" si="31"/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5"/>
      <c r="U92" s="6"/>
    </row>
    <row r="93" spans="1:21" ht="115.35" customHeight="1" x14ac:dyDescent="0.25">
      <c r="A93" s="13">
        <v>78</v>
      </c>
      <c r="B93" s="33" t="s">
        <v>90</v>
      </c>
      <c r="C93" s="19">
        <f t="shared" si="31"/>
        <v>1006857.29</v>
      </c>
      <c r="D93" s="19">
        <f>SUM(D95:D97)</f>
        <v>0</v>
      </c>
      <c r="E93" s="19">
        <f>SUM(E95:E97)</f>
        <v>0</v>
      </c>
      <c r="F93" s="19">
        <f>SUM(F95:F97)</f>
        <v>0</v>
      </c>
      <c r="G93" s="19">
        <f>SUM(G95:G97)</f>
        <v>0</v>
      </c>
      <c r="H93" s="19">
        <f>SUM(H94:H97)</f>
        <v>21000</v>
      </c>
      <c r="I93" s="19">
        <f t="shared" ref="I93:S93" si="42">SUM(I95:I97)</f>
        <v>8142.8600000000006</v>
      </c>
      <c r="J93" s="19">
        <f t="shared" si="42"/>
        <v>70143</v>
      </c>
      <c r="K93" s="19">
        <f t="shared" si="42"/>
        <v>98428.57</v>
      </c>
      <c r="L93" s="19">
        <f t="shared" si="42"/>
        <v>246714.29</v>
      </c>
      <c r="M93" s="19">
        <f t="shared" si="42"/>
        <v>314857.14</v>
      </c>
      <c r="N93" s="19">
        <f t="shared" si="42"/>
        <v>247571.43</v>
      </c>
      <c r="O93" s="19">
        <f t="shared" si="42"/>
        <v>0</v>
      </c>
      <c r="P93" s="19">
        <f t="shared" si="42"/>
        <v>0</v>
      </c>
      <c r="Q93" s="19">
        <f t="shared" si="42"/>
        <v>0</v>
      </c>
      <c r="R93" s="19">
        <f t="shared" si="42"/>
        <v>0</v>
      </c>
      <c r="S93" s="19">
        <f t="shared" si="42"/>
        <v>0</v>
      </c>
      <c r="T93" s="15" t="s">
        <v>45</v>
      </c>
      <c r="U93" s="6"/>
    </row>
    <row r="94" spans="1:21" x14ac:dyDescent="0.25">
      <c r="A94" s="13">
        <v>79</v>
      </c>
      <c r="B94" s="34" t="s">
        <v>21</v>
      </c>
      <c r="C94" s="19">
        <f t="shared" si="31"/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5"/>
      <c r="U94" s="6"/>
    </row>
    <row r="95" spans="1:21" x14ac:dyDescent="0.25">
      <c r="A95" s="13">
        <v>80</v>
      </c>
      <c r="B95" s="14" t="s">
        <v>22</v>
      </c>
      <c r="C95" s="19">
        <f t="shared" si="31"/>
        <v>704800</v>
      </c>
      <c r="D95" s="19">
        <v>0</v>
      </c>
      <c r="E95" s="19">
        <v>0</v>
      </c>
      <c r="F95" s="19">
        <v>0</v>
      </c>
      <c r="G95" s="19">
        <v>0</v>
      </c>
      <c r="H95" s="19">
        <v>14700</v>
      </c>
      <c r="I95" s="19">
        <v>5700</v>
      </c>
      <c r="J95" s="19">
        <v>49100</v>
      </c>
      <c r="K95" s="19">
        <v>68900</v>
      </c>
      <c r="L95" s="19">
        <f>138000+34700</f>
        <v>172700</v>
      </c>
      <c r="M95" s="19">
        <v>220400</v>
      </c>
      <c r="N95" s="19">
        <v>173300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23"/>
      <c r="U95" s="6"/>
    </row>
    <row r="96" spans="1:21" x14ac:dyDescent="0.25">
      <c r="A96" s="13">
        <v>81</v>
      </c>
      <c r="B96" s="14" t="s">
        <v>23</v>
      </c>
      <c r="C96" s="19">
        <f t="shared" si="31"/>
        <v>302057.28999999998</v>
      </c>
      <c r="D96" s="19">
        <v>0</v>
      </c>
      <c r="E96" s="22">
        <v>0</v>
      </c>
      <c r="F96" s="19">
        <v>0</v>
      </c>
      <c r="G96" s="19">
        <v>0</v>
      </c>
      <c r="H96" s="19">
        <v>6300</v>
      </c>
      <c r="I96" s="19">
        <v>2442.86</v>
      </c>
      <c r="J96" s="19">
        <v>21043</v>
      </c>
      <c r="K96" s="19">
        <v>29528.57</v>
      </c>
      <c r="L96" s="19">
        <f>59142.86+14871.43</f>
        <v>74014.290000000008</v>
      </c>
      <c r="M96" s="19">
        <f>94500-42.86</f>
        <v>94457.14</v>
      </c>
      <c r="N96" s="19">
        <v>74271.429999999993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5"/>
      <c r="U96" s="6"/>
    </row>
    <row r="97" spans="1:21" ht="29.25" customHeight="1" x14ac:dyDescent="0.25">
      <c r="A97" s="13">
        <v>82</v>
      </c>
      <c r="B97" s="14" t="s">
        <v>24</v>
      </c>
      <c r="C97" s="19">
        <f>SUM(D97:Q97)</f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5"/>
      <c r="U97" s="6"/>
    </row>
    <row r="98" spans="1:21" ht="143.25" customHeight="1" x14ac:dyDescent="0.25">
      <c r="A98" s="13">
        <v>83</v>
      </c>
      <c r="B98" s="33" t="s">
        <v>91</v>
      </c>
      <c r="C98" s="19">
        <f>SUM(D98:S98)</f>
        <v>1120893.19</v>
      </c>
      <c r="D98" s="19">
        <f>SUM(D100:D102)</f>
        <v>0</v>
      </c>
      <c r="E98" s="19">
        <f>SUM(E100:E102)</f>
        <v>0</v>
      </c>
      <c r="F98" s="19">
        <f>SUM(F100:F102)</f>
        <v>0</v>
      </c>
      <c r="G98" s="19">
        <f>SUM(G100:G102)</f>
        <v>0</v>
      </c>
      <c r="H98" s="19">
        <f>SUM(H99:H102)</f>
        <v>0</v>
      </c>
      <c r="I98" s="19">
        <f t="shared" ref="I98:S98" si="43">SUM(I100:I102)</f>
        <v>0</v>
      </c>
      <c r="J98" s="19">
        <f t="shared" si="43"/>
        <v>394991.44</v>
      </c>
      <c r="K98" s="19">
        <f t="shared" si="43"/>
        <v>0</v>
      </c>
      <c r="L98" s="19">
        <f t="shared" si="43"/>
        <v>0</v>
      </c>
      <c r="M98" s="19">
        <f t="shared" si="43"/>
        <v>725901.75</v>
      </c>
      <c r="N98" s="19">
        <f t="shared" si="43"/>
        <v>0</v>
      </c>
      <c r="O98" s="19">
        <f t="shared" si="43"/>
        <v>0</v>
      </c>
      <c r="P98" s="19">
        <f t="shared" si="43"/>
        <v>0</v>
      </c>
      <c r="Q98" s="19">
        <f t="shared" si="43"/>
        <v>0</v>
      </c>
      <c r="R98" s="19">
        <f t="shared" si="43"/>
        <v>0</v>
      </c>
      <c r="S98" s="19">
        <f t="shared" si="43"/>
        <v>0</v>
      </c>
      <c r="T98" s="15" t="s">
        <v>46</v>
      </c>
      <c r="U98" s="6"/>
    </row>
    <row r="99" spans="1:21" ht="33" customHeight="1" x14ac:dyDescent="0.25">
      <c r="A99" s="13">
        <v>84</v>
      </c>
      <c r="B99" s="34" t="s">
        <v>21</v>
      </c>
      <c r="C99" s="19">
        <f>SUM(D99:S99)</f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5"/>
      <c r="U99" s="6"/>
    </row>
    <row r="100" spans="1:21" ht="15.75" customHeight="1" x14ac:dyDescent="0.25">
      <c r="A100" s="13">
        <v>85</v>
      </c>
      <c r="B100" s="14" t="s">
        <v>22</v>
      </c>
      <c r="C100" s="19">
        <f>SUM(D100:S100)</f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23"/>
      <c r="U100" s="6"/>
    </row>
    <row r="101" spans="1:21" ht="15.75" customHeight="1" x14ac:dyDescent="0.25">
      <c r="A101" s="13">
        <v>86</v>
      </c>
      <c r="B101" s="14" t="s">
        <v>23</v>
      </c>
      <c r="C101" s="19">
        <f>SUM(D101:S101)</f>
        <v>1120893.19</v>
      </c>
      <c r="D101" s="19">
        <v>0</v>
      </c>
      <c r="E101" s="22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f>400451.44-5460</f>
        <v>394991.44</v>
      </c>
      <c r="K101" s="19">
        <v>0</v>
      </c>
      <c r="L101" s="19">
        <v>0</v>
      </c>
      <c r="M101" s="19">
        <f>410762.96+94667.21+220471.58</f>
        <v>725901.75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5"/>
      <c r="U101" s="6"/>
    </row>
    <row r="102" spans="1:21" ht="32.25" customHeight="1" x14ac:dyDescent="0.25">
      <c r="A102" s="13">
        <v>87</v>
      </c>
      <c r="B102" s="14" t="s">
        <v>24</v>
      </c>
      <c r="C102" s="19">
        <f>SUM(D102:Q102)</f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5"/>
      <c r="U102" s="6"/>
    </row>
    <row r="103" spans="1:21" ht="134.85" customHeight="1" x14ac:dyDescent="0.25">
      <c r="A103" s="13">
        <v>88</v>
      </c>
      <c r="B103" s="33" t="s">
        <v>92</v>
      </c>
      <c r="C103" s="19">
        <f t="shared" ref="C103:C126" si="44">SUM(D103:S103)</f>
        <v>2687540.02</v>
      </c>
      <c r="D103" s="19">
        <f>D104</f>
        <v>0</v>
      </c>
      <c r="E103" s="19">
        <f>E104</f>
        <v>0</v>
      </c>
      <c r="F103" s="19">
        <f>F104</f>
        <v>0</v>
      </c>
      <c r="G103" s="19">
        <f>G104</f>
        <v>0</v>
      </c>
      <c r="H103" s="19">
        <f>SUM(H104:H136)</f>
        <v>0</v>
      </c>
      <c r="I103" s="19">
        <f>SUM(I134:I136)</f>
        <v>0</v>
      </c>
      <c r="J103" s="19">
        <f t="shared" ref="J103:S103" si="45">J104</f>
        <v>1289871.54</v>
      </c>
      <c r="K103" s="19">
        <f t="shared" si="45"/>
        <v>0</v>
      </c>
      <c r="L103" s="19">
        <f t="shared" si="45"/>
        <v>170045.48</v>
      </c>
      <c r="M103" s="19">
        <f t="shared" si="45"/>
        <v>348000</v>
      </c>
      <c r="N103" s="19">
        <f t="shared" si="45"/>
        <v>879623</v>
      </c>
      <c r="O103" s="19">
        <f t="shared" si="45"/>
        <v>0</v>
      </c>
      <c r="P103" s="19">
        <f t="shared" si="45"/>
        <v>0</v>
      </c>
      <c r="Q103" s="19">
        <f t="shared" si="45"/>
        <v>0</v>
      </c>
      <c r="R103" s="19">
        <f t="shared" si="45"/>
        <v>0</v>
      </c>
      <c r="S103" s="19">
        <f t="shared" si="45"/>
        <v>0</v>
      </c>
      <c r="T103" s="15" t="s">
        <v>46</v>
      </c>
      <c r="U103" s="6"/>
    </row>
    <row r="104" spans="1:21" ht="15.75" customHeight="1" x14ac:dyDescent="0.25">
      <c r="A104" s="13">
        <v>89</v>
      </c>
      <c r="B104" s="34" t="s">
        <v>23</v>
      </c>
      <c r="C104" s="19">
        <f t="shared" si="44"/>
        <v>2687540.02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1289871.54</v>
      </c>
      <c r="K104" s="19">
        <v>0</v>
      </c>
      <c r="L104" s="19">
        <v>170045.48</v>
      </c>
      <c r="M104" s="19">
        <f>504237.33-156237.33</f>
        <v>348000</v>
      </c>
      <c r="N104" s="19">
        <f>415223+464400</f>
        <v>879623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5"/>
      <c r="U104" s="6"/>
    </row>
    <row r="105" spans="1:21" ht="153.75" customHeight="1" x14ac:dyDescent="0.25">
      <c r="A105" s="13">
        <v>90</v>
      </c>
      <c r="B105" s="33" t="s">
        <v>93</v>
      </c>
      <c r="C105" s="19">
        <f t="shared" si="44"/>
        <v>473057.14</v>
      </c>
      <c r="D105" s="19">
        <f t="shared" ref="D105:S105" si="46">SUM(D106:D107)</f>
        <v>0</v>
      </c>
      <c r="E105" s="19">
        <f t="shared" si="46"/>
        <v>0</v>
      </c>
      <c r="F105" s="19">
        <f t="shared" si="46"/>
        <v>0</v>
      </c>
      <c r="G105" s="19">
        <f t="shared" si="46"/>
        <v>0</v>
      </c>
      <c r="H105" s="19">
        <f t="shared" si="46"/>
        <v>0</v>
      </c>
      <c r="I105" s="19">
        <f t="shared" si="46"/>
        <v>0</v>
      </c>
      <c r="J105" s="19">
        <f t="shared" si="46"/>
        <v>0</v>
      </c>
      <c r="K105" s="19">
        <f t="shared" si="46"/>
        <v>65000</v>
      </c>
      <c r="L105" s="19">
        <f t="shared" si="46"/>
        <v>169900</v>
      </c>
      <c r="M105" s="19">
        <f t="shared" si="46"/>
        <v>131300</v>
      </c>
      <c r="N105" s="19">
        <f t="shared" si="46"/>
        <v>106857.14</v>
      </c>
      <c r="O105" s="19">
        <f t="shared" si="46"/>
        <v>0</v>
      </c>
      <c r="P105" s="19">
        <f t="shared" si="46"/>
        <v>0</v>
      </c>
      <c r="Q105" s="19">
        <f t="shared" si="46"/>
        <v>0</v>
      </c>
      <c r="R105" s="19">
        <f t="shared" si="46"/>
        <v>0</v>
      </c>
      <c r="S105" s="19">
        <f t="shared" si="46"/>
        <v>0</v>
      </c>
      <c r="T105" s="15" t="s">
        <v>47</v>
      </c>
      <c r="U105" s="6"/>
    </row>
    <row r="106" spans="1:21" ht="15.75" customHeight="1" x14ac:dyDescent="0.25">
      <c r="A106" s="13">
        <v>91</v>
      </c>
      <c r="B106" s="14" t="s">
        <v>22</v>
      </c>
      <c r="C106" s="19">
        <f t="shared" si="44"/>
        <v>318100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32500</v>
      </c>
      <c r="L106" s="19">
        <v>118900</v>
      </c>
      <c r="M106" s="19">
        <v>91900</v>
      </c>
      <c r="N106" s="19">
        <v>74800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23"/>
      <c r="U106" s="6"/>
    </row>
    <row r="107" spans="1:21" ht="15.75" customHeight="1" x14ac:dyDescent="0.25">
      <c r="A107" s="13">
        <v>92</v>
      </c>
      <c r="B107" s="14" t="s">
        <v>23</v>
      </c>
      <c r="C107" s="19">
        <f t="shared" si="44"/>
        <v>154957.14000000001</v>
      </c>
      <c r="D107" s="19">
        <v>0</v>
      </c>
      <c r="E107" s="22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32500</v>
      </c>
      <c r="L107" s="19">
        <v>51000</v>
      </c>
      <c r="M107" s="19">
        <v>39400</v>
      </c>
      <c r="N107" s="19">
        <v>32057.14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5"/>
      <c r="U107" s="6"/>
    </row>
    <row r="108" spans="1:21" ht="176.45" customHeight="1" x14ac:dyDescent="0.25">
      <c r="A108" s="13">
        <v>93</v>
      </c>
      <c r="B108" s="33" t="s">
        <v>94</v>
      </c>
      <c r="C108" s="19">
        <f t="shared" si="44"/>
        <v>2996471.7800000003</v>
      </c>
      <c r="D108" s="19">
        <f t="shared" ref="D108:J108" si="47">SUM(D109:D117)</f>
        <v>0</v>
      </c>
      <c r="E108" s="19">
        <f t="shared" si="47"/>
        <v>0</v>
      </c>
      <c r="F108" s="19">
        <f t="shared" si="47"/>
        <v>0</v>
      </c>
      <c r="G108" s="19">
        <f t="shared" si="47"/>
        <v>0</v>
      </c>
      <c r="H108" s="19">
        <f t="shared" si="47"/>
        <v>0</v>
      </c>
      <c r="I108" s="19">
        <f t="shared" si="47"/>
        <v>0</v>
      </c>
      <c r="J108" s="19">
        <f t="shared" si="47"/>
        <v>0</v>
      </c>
      <c r="K108" s="19">
        <f t="shared" ref="K108:S108" si="48">K109</f>
        <v>1248613</v>
      </c>
      <c r="L108" s="19">
        <f t="shared" si="48"/>
        <v>1347858.78</v>
      </c>
      <c r="M108" s="19">
        <f t="shared" si="48"/>
        <v>0</v>
      </c>
      <c r="N108" s="19">
        <f t="shared" si="48"/>
        <v>400000</v>
      </c>
      <c r="O108" s="19">
        <f t="shared" si="48"/>
        <v>0</v>
      </c>
      <c r="P108" s="19">
        <f t="shared" si="48"/>
        <v>0</v>
      </c>
      <c r="Q108" s="19">
        <f t="shared" si="48"/>
        <v>0</v>
      </c>
      <c r="R108" s="19">
        <f t="shared" si="48"/>
        <v>0</v>
      </c>
      <c r="S108" s="19">
        <f t="shared" si="48"/>
        <v>0</v>
      </c>
      <c r="T108" s="15" t="s">
        <v>46</v>
      </c>
      <c r="U108" s="6"/>
    </row>
    <row r="109" spans="1:21" ht="14.25" customHeight="1" x14ac:dyDescent="0.25">
      <c r="A109" s="13">
        <v>94</v>
      </c>
      <c r="B109" s="14" t="s">
        <v>23</v>
      </c>
      <c r="C109" s="19">
        <f t="shared" si="44"/>
        <v>2996471.7800000003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f>1184113+64500</f>
        <v>1248613</v>
      </c>
      <c r="L109" s="19">
        <v>1347858.78</v>
      </c>
      <c r="M109" s="19">
        <v>0</v>
      </c>
      <c r="N109" s="19">
        <v>400000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23"/>
      <c r="U109" s="6"/>
    </row>
    <row r="110" spans="1:21" ht="360" customHeight="1" x14ac:dyDescent="0.25">
      <c r="A110" s="13">
        <v>95</v>
      </c>
      <c r="B110" s="32" t="s">
        <v>97</v>
      </c>
      <c r="C110" s="19">
        <f t="shared" si="44"/>
        <v>2277822.5499999998</v>
      </c>
      <c r="D110" s="19">
        <f t="shared" ref="D110:S110" si="49">SUM(D111)</f>
        <v>0</v>
      </c>
      <c r="E110" s="19">
        <f t="shared" si="49"/>
        <v>0</v>
      </c>
      <c r="F110" s="19">
        <f t="shared" si="49"/>
        <v>0</v>
      </c>
      <c r="G110" s="19">
        <f t="shared" si="49"/>
        <v>0</v>
      </c>
      <c r="H110" s="19">
        <f t="shared" si="49"/>
        <v>0</v>
      </c>
      <c r="I110" s="19">
        <f t="shared" si="49"/>
        <v>0</v>
      </c>
      <c r="J110" s="19">
        <f t="shared" si="49"/>
        <v>0</v>
      </c>
      <c r="K110" s="19">
        <f t="shared" si="49"/>
        <v>1123126.8500000001</v>
      </c>
      <c r="L110" s="19">
        <f t="shared" si="49"/>
        <v>385262.16</v>
      </c>
      <c r="M110" s="19">
        <f t="shared" si="49"/>
        <v>769433.54</v>
      </c>
      <c r="N110" s="19">
        <f t="shared" si="49"/>
        <v>0</v>
      </c>
      <c r="O110" s="19">
        <f t="shared" si="49"/>
        <v>0</v>
      </c>
      <c r="P110" s="19">
        <f t="shared" si="49"/>
        <v>0</v>
      </c>
      <c r="Q110" s="19">
        <f t="shared" si="49"/>
        <v>0</v>
      </c>
      <c r="R110" s="19">
        <f t="shared" si="49"/>
        <v>0</v>
      </c>
      <c r="S110" s="19">
        <f t="shared" si="49"/>
        <v>0</v>
      </c>
      <c r="T110" s="15" t="s">
        <v>48</v>
      </c>
      <c r="U110" s="6"/>
    </row>
    <row r="111" spans="1:21" x14ac:dyDescent="0.25">
      <c r="A111" s="13">
        <v>96</v>
      </c>
      <c r="B111" s="14" t="s">
        <v>22</v>
      </c>
      <c r="C111" s="19">
        <f t="shared" si="44"/>
        <v>2277822.5499999998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f>1006832.79+116294.06</f>
        <v>1123126.8500000001</v>
      </c>
      <c r="L111" s="19">
        <v>385262.16</v>
      </c>
      <c r="M111" s="19">
        <f>769433.54</f>
        <v>769433.54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23"/>
      <c r="U111" s="6"/>
    </row>
    <row r="112" spans="1:21" ht="350.1" customHeight="1" x14ac:dyDescent="0.25">
      <c r="A112" s="13">
        <v>97</v>
      </c>
      <c r="B112" s="32" t="s">
        <v>98</v>
      </c>
      <c r="C112" s="19">
        <f t="shared" si="44"/>
        <v>436374.58</v>
      </c>
      <c r="D112" s="19">
        <f t="shared" ref="D112:S112" si="50">SUM(D113)</f>
        <v>0</v>
      </c>
      <c r="E112" s="19">
        <f t="shared" si="50"/>
        <v>0</v>
      </c>
      <c r="F112" s="19">
        <f t="shared" si="50"/>
        <v>0</v>
      </c>
      <c r="G112" s="19">
        <f t="shared" si="50"/>
        <v>0</v>
      </c>
      <c r="H112" s="19">
        <f t="shared" si="50"/>
        <v>0</v>
      </c>
      <c r="I112" s="19">
        <f t="shared" si="50"/>
        <v>0</v>
      </c>
      <c r="J112" s="19">
        <f t="shared" si="50"/>
        <v>0</v>
      </c>
      <c r="K112" s="19">
        <f t="shared" si="50"/>
        <v>299483.96000000002</v>
      </c>
      <c r="L112" s="19">
        <f t="shared" si="50"/>
        <v>51711.14</v>
      </c>
      <c r="M112" s="19">
        <f t="shared" si="50"/>
        <v>85179.48</v>
      </c>
      <c r="N112" s="19">
        <f t="shared" si="50"/>
        <v>0</v>
      </c>
      <c r="O112" s="19">
        <f t="shared" si="50"/>
        <v>0</v>
      </c>
      <c r="P112" s="19">
        <f t="shared" si="50"/>
        <v>0</v>
      </c>
      <c r="Q112" s="19">
        <f t="shared" si="50"/>
        <v>0</v>
      </c>
      <c r="R112" s="19">
        <f t="shared" si="50"/>
        <v>0</v>
      </c>
      <c r="S112" s="19">
        <f t="shared" si="50"/>
        <v>0</v>
      </c>
      <c r="T112" s="15" t="s">
        <v>49</v>
      </c>
      <c r="U112" s="6"/>
    </row>
    <row r="113" spans="1:21" x14ac:dyDescent="0.25">
      <c r="A113" s="13">
        <v>98</v>
      </c>
      <c r="B113" s="14" t="s">
        <v>22</v>
      </c>
      <c r="C113" s="19">
        <f t="shared" si="44"/>
        <v>436374.58</v>
      </c>
      <c r="D113" s="19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299483.96000000002</v>
      </c>
      <c r="L113" s="19">
        <v>51711.14</v>
      </c>
      <c r="M113" s="19">
        <v>85179.48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23"/>
      <c r="U113" s="6"/>
    </row>
    <row r="114" spans="1:21" ht="256.5" customHeight="1" x14ac:dyDescent="0.25">
      <c r="A114" s="13">
        <v>99</v>
      </c>
      <c r="B114" s="32" t="s">
        <v>134</v>
      </c>
      <c r="C114" s="19">
        <f t="shared" si="44"/>
        <v>0</v>
      </c>
      <c r="D114" s="19">
        <f t="shared" ref="D114:Q114" si="51">SUM(D115)</f>
        <v>0</v>
      </c>
      <c r="E114" s="19">
        <f t="shared" si="51"/>
        <v>0</v>
      </c>
      <c r="F114" s="19">
        <f t="shared" si="51"/>
        <v>0</v>
      </c>
      <c r="G114" s="19">
        <f t="shared" si="51"/>
        <v>0</v>
      </c>
      <c r="H114" s="19">
        <f t="shared" si="51"/>
        <v>0</v>
      </c>
      <c r="I114" s="19">
        <f t="shared" si="51"/>
        <v>0</v>
      </c>
      <c r="J114" s="19">
        <f t="shared" si="51"/>
        <v>0</v>
      </c>
      <c r="K114" s="19">
        <f t="shared" si="51"/>
        <v>0</v>
      </c>
      <c r="L114" s="19">
        <f t="shared" si="51"/>
        <v>0</v>
      </c>
      <c r="M114" s="19">
        <f t="shared" si="51"/>
        <v>0</v>
      </c>
      <c r="N114" s="19">
        <f t="shared" si="51"/>
        <v>0</v>
      </c>
      <c r="O114" s="19">
        <f t="shared" si="51"/>
        <v>0</v>
      </c>
      <c r="P114" s="19">
        <f t="shared" si="51"/>
        <v>0</v>
      </c>
      <c r="Q114" s="19">
        <f t="shared" si="51"/>
        <v>0</v>
      </c>
      <c r="R114" s="19">
        <f>R115</f>
        <v>0</v>
      </c>
      <c r="S114" s="19">
        <f>S115</f>
        <v>0</v>
      </c>
      <c r="T114" s="15" t="s">
        <v>50</v>
      </c>
      <c r="U114" s="6"/>
    </row>
    <row r="115" spans="1:21" x14ac:dyDescent="0.25">
      <c r="A115" s="13">
        <v>100</v>
      </c>
      <c r="B115" s="14" t="s">
        <v>23</v>
      </c>
      <c r="C115" s="19">
        <f t="shared" si="44"/>
        <v>0</v>
      </c>
      <c r="D115" s="19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23"/>
      <c r="U115" s="6"/>
    </row>
    <row r="116" spans="1:21" ht="242.25" customHeight="1" x14ac:dyDescent="0.25">
      <c r="A116" s="13">
        <v>101</v>
      </c>
      <c r="B116" s="32" t="s">
        <v>135</v>
      </c>
      <c r="C116" s="19">
        <f t="shared" si="44"/>
        <v>0</v>
      </c>
      <c r="D116" s="19">
        <f t="shared" ref="D116:S116" si="52">SUM(D117)</f>
        <v>0</v>
      </c>
      <c r="E116" s="19">
        <f t="shared" si="52"/>
        <v>0</v>
      </c>
      <c r="F116" s="19">
        <f t="shared" si="52"/>
        <v>0</v>
      </c>
      <c r="G116" s="19">
        <f t="shared" si="52"/>
        <v>0</v>
      </c>
      <c r="H116" s="19">
        <f t="shared" si="52"/>
        <v>0</v>
      </c>
      <c r="I116" s="19">
        <f t="shared" si="52"/>
        <v>0</v>
      </c>
      <c r="J116" s="19">
        <f t="shared" si="52"/>
        <v>0</v>
      </c>
      <c r="K116" s="19">
        <f t="shared" si="52"/>
        <v>0</v>
      </c>
      <c r="L116" s="19">
        <f t="shared" si="52"/>
        <v>0</v>
      </c>
      <c r="M116" s="19">
        <f t="shared" si="52"/>
        <v>0</v>
      </c>
      <c r="N116" s="19">
        <f t="shared" si="52"/>
        <v>0</v>
      </c>
      <c r="O116" s="19">
        <f t="shared" si="52"/>
        <v>0</v>
      </c>
      <c r="P116" s="19">
        <f t="shared" si="52"/>
        <v>0</v>
      </c>
      <c r="Q116" s="19">
        <f t="shared" si="52"/>
        <v>0</v>
      </c>
      <c r="R116" s="19">
        <f t="shared" si="52"/>
        <v>0</v>
      </c>
      <c r="S116" s="19">
        <f t="shared" si="52"/>
        <v>0</v>
      </c>
      <c r="T116" s="15" t="s">
        <v>50</v>
      </c>
      <c r="U116" s="6"/>
    </row>
    <row r="117" spans="1:21" x14ac:dyDescent="0.25">
      <c r="A117" s="13">
        <v>102</v>
      </c>
      <c r="B117" s="14" t="s">
        <v>23</v>
      </c>
      <c r="C117" s="19">
        <f t="shared" si="44"/>
        <v>0</v>
      </c>
      <c r="D117" s="19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23"/>
      <c r="U117" s="6"/>
    </row>
    <row r="118" spans="1:21" ht="75.400000000000006" customHeight="1" x14ac:dyDescent="0.25">
      <c r="A118" s="13">
        <v>103</v>
      </c>
      <c r="B118" s="32" t="s">
        <v>95</v>
      </c>
      <c r="C118" s="19">
        <f t="shared" si="44"/>
        <v>0</v>
      </c>
      <c r="D118" s="19">
        <f t="shared" ref="D118:S118" si="53">SUM(D119)</f>
        <v>0</v>
      </c>
      <c r="E118" s="19">
        <f t="shared" si="53"/>
        <v>0</v>
      </c>
      <c r="F118" s="19">
        <f t="shared" si="53"/>
        <v>0</v>
      </c>
      <c r="G118" s="19">
        <f t="shared" si="53"/>
        <v>0</v>
      </c>
      <c r="H118" s="19">
        <f t="shared" si="53"/>
        <v>0</v>
      </c>
      <c r="I118" s="19">
        <f t="shared" si="53"/>
        <v>0</v>
      </c>
      <c r="J118" s="19">
        <f t="shared" si="53"/>
        <v>0</v>
      </c>
      <c r="K118" s="19">
        <f t="shared" si="53"/>
        <v>0</v>
      </c>
      <c r="L118" s="19">
        <f t="shared" si="53"/>
        <v>0</v>
      </c>
      <c r="M118" s="19">
        <f t="shared" si="53"/>
        <v>0</v>
      </c>
      <c r="N118" s="19">
        <f t="shared" si="53"/>
        <v>0</v>
      </c>
      <c r="O118" s="19">
        <f t="shared" si="53"/>
        <v>0</v>
      </c>
      <c r="P118" s="19">
        <f t="shared" si="53"/>
        <v>0</v>
      </c>
      <c r="Q118" s="19">
        <f t="shared" si="53"/>
        <v>0</v>
      </c>
      <c r="R118" s="19">
        <f t="shared" si="53"/>
        <v>0</v>
      </c>
      <c r="S118" s="19">
        <f t="shared" si="53"/>
        <v>0</v>
      </c>
      <c r="T118" s="15" t="s">
        <v>50</v>
      </c>
      <c r="U118" s="6"/>
    </row>
    <row r="119" spans="1:21" ht="15.75" customHeight="1" x14ac:dyDescent="0.25">
      <c r="A119" s="13">
        <v>104</v>
      </c>
      <c r="B119" s="14" t="s">
        <v>23</v>
      </c>
      <c r="C119" s="19">
        <f t="shared" si="44"/>
        <v>0</v>
      </c>
      <c r="D119" s="19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23"/>
      <c r="U119" s="6"/>
    </row>
    <row r="120" spans="1:21" ht="234" customHeight="1" x14ac:dyDescent="0.25">
      <c r="A120" s="13">
        <v>105</v>
      </c>
      <c r="B120" s="32" t="s">
        <v>142</v>
      </c>
      <c r="C120" s="19">
        <f t="shared" si="44"/>
        <v>6140152</v>
      </c>
      <c r="D120" s="19">
        <f t="shared" ref="D120:L120" si="54">SUM(D121:D134)</f>
        <v>0</v>
      </c>
      <c r="E120" s="19">
        <f t="shared" si="54"/>
        <v>0</v>
      </c>
      <c r="F120" s="19">
        <f t="shared" si="54"/>
        <v>0</v>
      </c>
      <c r="G120" s="19">
        <f t="shared" si="54"/>
        <v>0</v>
      </c>
      <c r="H120" s="19">
        <f t="shared" si="54"/>
        <v>0</v>
      </c>
      <c r="I120" s="19">
        <f t="shared" si="54"/>
        <v>0</v>
      </c>
      <c r="J120" s="19">
        <f t="shared" si="54"/>
        <v>0</v>
      </c>
      <c r="K120" s="19">
        <f t="shared" si="54"/>
        <v>0</v>
      </c>
      <c r="L120" s="19">
        <f t="shared" si="54"/>
        <v>721000</v>
      </c>
      <c r="M120" s="19">
        <f t="shared" ref="M120:S120" si="55">M121</f>
        <v>814152</v>
      </c>
      <c r="N120" s="19">
        <f t="shared" si="55"/>
        <v>814000</v>
      </c>
      <c r="O120" s="19">
        <f t="shared" si="55"/>
        <v>814000</v>
      </c>
      <c r="P120" s="19">
        <f t="shared" si="55"/>
        <v>814000</v>
      </c>
      <c r="Q120" s="19">
        <f t="shared" si="55"/>
        <v>721000</v>
      </c>
      <c r="R120" s="19">
        <f t="shared" si="55"/>
        <v>721000</v>
      </c>
      <c r="S120" s="19">
        <f t="shared" si="55"/>
        <v>721000</v>
      </c>
      <c r="T120" s="15" t="s">
        <v>51</v>
      </c>
      <c r="U120" s="6"/>
    </row>
    <row r="121" spans="1:21" ht="27.75" customHeight="1" x14ac:dyDescent="0.25">
      <c r="A121" s="13">
        <v>106</v>
      </c>
      <c r="B121" s="14" t="s">
        <v>24</v>
      </c>
      <c r="C121" s="19">
        <f t="shared" si="44"/>
        <v>6140152</v>
      </c>
      <c r="D121" s="19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721000</v>
      </c>
      <c r="M121" s="19">
        <f>721000+93152</f>
        <v>814152</v>
      </c>
      <c r="N121" s="19">
        <v>814000</v>
      </c>
      <c r="O121" s="19">
        <v>814000</v>
      </c>
      <c r="P121" s="19">
        <v>814000</v>
      </c>
      <c r="Q121" s="19">
        <v>721000</v>
      </c>
      <c r="R121" s="19">
        <v>721000</v>
      </c>
      <c r="S121" s="19">
        <v>721000</v>
      </c>
      <c r="T121" s="15"/>
      <c r="U121" s="6"/>
    </row>
    <row r="122" spans="1:21" ht="116.25" customHeight="1" x14ac:dyDescent="0.25">
      <c r="A122" s="13">
        <v>107</v>
      </c>
      <c r="B122" s="32" t="s">
        <v>96</v>
      </c>
      <c r="C122" s="19">
        <f t="shared" si="44"/>
        <v>241426453.77000001</v>
      </c>
      <c r="D122" s="19">
        <f t="shared" ref="D122:K122" si="56">D123</f>
        <v>0</v>
      </c>
      <c r="E122" s="19">
        <f t="shared" si="56"/>
        <v>0</v>
      </c>
      <c r="F122" s="19">
        <f t="shared" si="56"/>
        <v>0</v>
      </c>
      <c r="G122" s="19">
        <f t="shared" si="56"/>
        <v>0</v>
      </c>
      <c r="H122" s="19">
        <f t="shared" si="56"/>
        <v>0</v>
      </c>
      <c r="I122" s="19">
        <f t="shared" si="56"/>
        <v>0</v>
      </c>
      <c r="J122" s="19">
        <f t="shared" si="56"/>
        <v>0</v>
      </c>
      <c r="K122" s="19">
        <f t="shared" si="56"/>
        <v>0</v>
      </c>
      <c r="L122" s="19">
        <f t="shared" ref="L122:Q122" si="57">L123+L124</f>
        <v>0</v>
      </c>
      <c r="M122" s="19">
        <f t="shared" si="57"/>
        <v>40893260.730000004</v>
      </c>
      <c r="N122" s="19">
        <f t="shared" si="57"/>
        <v>42788793.890000001</v>
      </c>
      <c r="O122" s="19">
        <f t="shared" si="57"/>
        <v>42518436.270000003</v>
      </c>
      <c r="P122" s="19">
        <f t="shared" si="57"/>
        <v>28806490.719999999</v>
      </c>
      <c r="Q122" s="19">
        <f t="shared" si="57"/>
        <v>28806490.719999999</v>
      </c>
      <c r="R122" s="19">
        <f>R123:S123+R124:S124</f>
        <v>28806490.719999999</v>
      </c>
      <c r="S122" s="19">
        <f>S123:T123+S124:T124</f>
        <v>28806490.719999999</v>
      </c>
      <c r="T122" s="15" t="s">
        <v>52</v>
      </c>
      <c r="U122" s="6"/>
    </row>
    <row r="123" spans="1:21" x14ac:dyDescent="0.25">
      <c r="A123" s="13">
        <v>108</v>
      </c>
      <c r="B123" s="14" t="s">
        <v>23</v>
      </c>
      <c r="C123" s="19">
        <f t="shared" si="44"/>
        <v>210984676.94999999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f>17106162.37+14922376.9+135926.48+20310.85+1074756+2549004.62+861555.89</f>
        <v>36670093.110000007</v>
      </c>
      <c r="N123" s="19">
        <f>26342988.78+7955582.61+3033943.99+1028281.46</f>
        <v>38360796.840000004</v>
      </c>
      <c r="O123" s="19">
        <f>26342988.78+7955582.61+3033943.99+827798.46</f>
        <v>38160313.840000004</v>
      </c>
      <c r="P123" s="19">
        <f>15805793.27+4773349.57+3033943.99+835281.46</f>
        <v>24448368.289999999</v>
      </c>
      <c r="Q123" s="19">
        <f t="shared" ref="Q123:S123" si="58">15805793.27+4773349.57+3033943.99+835281.46</f>
        <v>24448368.289999999</v>
      </c>
      <c r="R123" s="19">
        <f t="shared" si="58"/>
        <v>24448368.289999999</v>
      </c>
      <c r="S123" s="19">
        <f t="shared" si="58"/>
        <v>24448368.289999999</v>
      </c>
      <c r="T123" s="15"/>
      <c r="U123" s="6"/>
    </row>
    <row r="124" spans="1:21" ht="27.75" customHeight="1" x14ac:dyDescent="0.25">
      <c r="A124" s="13">
        <v>109</v>
      </c>
      <c r="B124" s="14" t="s">
        <v>24</v>
      </c>
      <c r="C124" s="19">
        <f t="shared" si="44"/>
        <v>30441776.82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4223167.62</v>
      </c>
      <c r="N124" s="19">
        <v>4427997.05</v>
      </c>
      <c r="O124" s="19">
        <v>4358122.43</v>
      </c>
      <c r="P124" s="19">
        <v>4358122.43</v>
      </c>
      <c r="Q124" s="19">
        <v>4358122.43</v>
      </c>
      <c r="R124" s="19">
        <v>4358122.43</v>
      </c>
      <c r="S124" s="19">
        <v>4358122.43</v>
      </c>
      <c r="T124" s="15"/>
      <c r="U124" s="6"/>
    </row>
    <row r="125" spans="1:21" ht="366" customHeight="1" x14ac:dyDescent="0.25">
      <c r="A125" s="13">
        <v>110</v>
      </c>
      <c r="B125" s="32" t="s">
        <v>99</v>
      </c>
      <c r="C125" s="19">
        <f t="shared" si="44"/>
        <v>322667.03000000003</v>
      </c>
      <c r="D125" s="19">
        <f t="shared" ref="D125:K129" si="59">D126</f>
        <v>0</v>
      </c>
      <c r="E125" s="19">
        <f t="shared" si="59"/>
        <v>0</v>
      </c>
      <c r="F125" s="19">
        <f t="shared" si="59"/>
        <v>0</v>
      </c>
      <c r="G125" s="19">
        <f t="shared" si="59"/>
        <v>0</v>
      </c>
      <c r="H125" s="19">
        <f t="shared" si="59"/>
        <v>0</v>
      </c>
      <c r="I125" s="19">
        <f t="shared" si="59"/>
        <v>0</v>
      </c>
      <c r="J125" s="19">
        <f t="shared" si="59"/>
        <v>0</v>
      </c>
      <c r="K125" s="19">
        <f t="shared" si="59"/>
        <v>0</v>
      </c>
      <c r="L125" s="19">
        <f t="shared" ref="L125:S129" si="60">L126</f>
        <v>0</v>
      </c>
      <c r="M125" s="19">
        <f t="shared" si="60"/>
        <v>322667.03000000003</v>
      </c>
      <c r="N125" s="19">
        <f t="shared" si="60"/>
        <v>0</v>
      </c>
      <c r="O125" s="19">
        <f t="shared" si="60"/>
        <v>0</v>
      </c>
      <c r="P125" s="19">
        <f t="shared" si="60"/>
        <v>0</v>
      </c>
      <c r="Q125" s="19">
        <f t="shared" si="60"/>
        <v>0</v>
      </c>
      <c r="R125" s="19">
        <f t="shared" si="60"/>
        <v>0</v>
      </c>
      <c r="S125" s="19">
        <f t="shared" si="60"/>
        <v>0</v>
      </c>
      <c r="T125" s="15" t="s">
        <v>52</v>
      </c>
      <c r="U125" s="6"/>
    </row>
    <row r="126" spans="1:21" ht="18" customHeight="1" x14ac:dyDescent="0.25">
      <c r="A126" s="13">
        <v>111</v>
      </c>
      <c r="B126" s="14" t="s">
        <v>22</v>
      </c>
      <c r="C126" s="19">
        <f t="shared" si="44"/>
        <v>322667.03000000003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322667.03000000003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5"/>
      <c r="U126" s="6"/>
    </row>
    <row r="127" spans="1:21" ht="408.95" customHeight="1" x14ac:dyDescent="0.25">
      <c r="A127" s="13">
        <v>112</v>
      </c>
      <c r="B127" s="32" t="s">
        <v>101</v>
      </c>
      <c r="C127" s="19">
        <f t="shared" ref="C127:C128" si="61">SUM(D127:S127)</f>
        <v>1236062.72</v>
      </c>
      <c r="D127" s="19">
        <f t="shared" si="59"/>
        <v>0</v>
      </c>
      <c r="E127" s="19">
        <f t="shared" si="59"/>
        <v>0</v>
      </c>
      <c r="F127" s="19">
        <f t="shared" si="59"/>
        <v>0</v>
      </c>
      <c r="G127" s="19">
        <f t="shared" si="59"/>
        <v>0</v>
      </c>
      <c r="H127" s="19">
        <f t="shared" si="59"/>
        <v>0</v>
      </c>
      <c r="I127" s="19">
        <f t="shared" si="59"/>
        <v>0</v>
      </c>
      <c r="J127" s="19">
        <f t="shared" si="59"/>
        <v>0</v>
      </c>
      <c r="K127" s="19">
        <f t="shared" si="59"/>
        <v>0</v>
      </c>
      <c r="L127" s="19">
        <f t="shared" si="60"/>
        <v>0</v>
      </c>
      <c r="M127" s="19">
        <f t="shared" si="60"/>
        <v>1236062.72</v>
      </c>
      <c r="N127" s="19">
        <f t="shared" si="60"/>
        <v>0</v>
      </c>
      <c r="O127" s="19">
        <f t="shared" si="60"/>
        <v>0</v>
      </c>
      <c r="P127" s="19">
        <f t="shared" si="60"/>
        <v>0</v>
      </c>
      <c r="Q127" s="19">
        <f t="shared" si="60"/>
        <v>0</v>
      </c>
      <c r="R127" s="19">
        <f t="shared" si="60"/>
        <v>0</v>
      </c>
      <c r="S127" s="19">
        <f t="shared" si="60"/>
        <v>0</v>
      </c>
      <c r="T127" s="15" t="s">
        <v>52</v>
      </c>
      <c r="U127" s="6"/>
    </row>
    <row r="128" spans="1:21" ht="18" customHeight="1" x14ac:dyDescent="0.25">
      <c r="A128" s="13">
        <v>113</v>
      </c>
      <c r="B128" s="14" t="s">
        <v>22</v>
      </c>
      <c r="C128" s="19">
        <f t="shared" si="61"/>
        <v>1236062.72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1236062.72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5"/>
      <c r="U128" s="6"/>
    </row>
    <row r="129" spans="1:21" ht="408.75" customHeight="1" x14ac:dyDescent="0.25">
      <c r="A129" s="13">
        <v>114</v>
      </c>
      <c r="B129" s="32" t="s">
        <v>102</v>
      </c>
      <c r="C129" s="19">
        <f t="shared" ref="C129:C130" si="62">SUM(D129:S129)</f>
        <v>1005815.74</v>
      </c>
      <c r="D129" s="19">
        <f t="shared" si="59"/>
        <v>0</v>
      </c>
      <c r="E129" s="19">
        <f t="shared" si="59"/>
        <v>0</v>
      </c>
      <c r="F129" s="19">
        <f t="shared" si="59"/>
        <v>0</v>
      </c>
      <c r="G129" s="19">
        <f t="shared" si="59"/>
        <v>0</v>
      </c>
      <c r="H129" s="19">
        <f t="shared" si="59"/>
        <v>0</v>
      </c>
      <c r="I129" s="19">
        <f t="shared" si="59"/>
        <v>0</v>
      </c>
      <c r="J129" s="19">
        <f t="shared" si="59"/>
        <v>0</v>
      </c>
      <c r="K129" s="19">
        <f t="shared" si="59"/>
        <v>0</v>
      </c>
      <c r="L129" s="19">
        <f t="shared" si="60"/>
        <v>0</v>
      </c>
      <c r="M129" s="19">
        <f t="shared" si="60"/>
        <v>1005815.74</v>
      </c>
      <c r="N129" s="19">
        <f t="shared" si="60"/>
        <v>0</v>
      </c>
      <c r="O129" s="19">
        <f t="shared" si="60"/>
        <v>0</v>
      </c>
      <c r="P129" s="19">
        <f t="shared" si="60"/>
        <v>0</v>
      </c>
      <c r="Q129" s="19">
        <f t="shared" si="60"/>
        <v>0</v>
      </c>
      <c r="R129" s="19">
        <f t="shared" si="60"/>
        <v>0</v>
      </c>
      <c r="S129" s="19">
        <f t="shared" si="60"/>
        <v>0</v>
      </c>
      <c r="T129" s="15" t="s">
        <v>37</v>
      </c>
      <c r="U129" s="6"/>
    </row>
    <row r="130" spans="1:21" ht="18" customHeight="1" x14ac:dyDescent="0.25">
      <c r="A130" s="13">
        <v>115</v>
      </c>
      <c r="B130" s="14" t="s">
        <v>22</v>
      </c>
      <c r="C130" s="19">
        <f t="shared" si="62"/>
        <v>1005815.74</v>
      </c>
      <c r="D130" s="19">
        <v>0</v>
      </c>
      <c r="E130" s="19">
        <v>0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1005815.74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5"/>
      <c r="U130" s="6"/>
    </row>
    <row r="131" spans="1:21" ht="171.75" x14ac:dyDescent="0.25">
      <c r="A131" s="13">
        <v>78</v>
      </c>
      <c r="B131" s="35" t="s">
        <v>125</v>
      </c>
      <c r="C131" s="19">
        <f t="shared" ref="C131:C133" si="63">SUM(D131:S131)</f>
        <v>588588.24</v>
      </c>
      <c r="D131" s="19">
        <f>SUM(D132:D134)</f>
        <v>0</v>
      </c>
      <c r="E131" s="19">
        <f>SUM(E132:E134)</f>
        <v>0</v>
      </c>
      <c r="F131" s="19">
        <f>SUM(F132:F134)</f>
        <v>0</v>
      </c>
      <c r="G131" s="19">
        <f>SUM(G132:G134)</f>
        <v>0</v>
      </c>
      <c r="H131" s="19">
        <f>SUM(H132:H134)</f>
        <v>0</v>
      </c>
      <c r="I131" s="19">
        <f t="shared" ref="I131:S131" si="64">SUM(I132:I134)</f>
        <v>0</v>
      </c>
      <c r="J131" s="19">
        <f t="shared" si="64"/>
        <v>0</v>
      </c>
      <c r="K131" s="19">
        <f t="shared" si="64"/>
        <v>0</v>
      </c>
      <c r="L131" s="19">
        <f t="shared" si="64"/>
        <v>0</v>
      </c>
      <c r="M131" s="19">
        <f t="shared" si="64"/>
        <v>0</v>
      </c>
      <c r="N131" s="24">
        <f t="shared" si="64"/>
        <v>588588.24</v>
      </c>
      <c r="O131" s="19">
        <f t="shared" si="64"/>
        <v>0</v>
      </c>
      <c r="P131" s="19">
        <f t="shared" si="64"/>
        <v>0</v>
      </c>
      <c r="Q131" s="19">
        <f t="shared" si="64"/>
        <v>0</v>
      </c>
      <c r="R131" s="19">
        <f t="shared" si="64"/>
        <v>0</v>
      </c>
      <c r="S131" s="19">
        <f t="shared" si="64"/>
        <v>0</v>
      </c>
      <c r="T131" s="15" t="s">
        <v>45</v>
      </c>
      <c r="U131" s="6"/>
    </row>
    <row r="132" spans="1:21" ht="18" customHeight="1" x14ac:dyDescent="0.25">
      <c r="A132" s="13">
        <v>80</v>
      </c>
      <c r="B132" s="14" t="s">
        <v>22</v>
      </c>
      <c r="C132" s="19">
        <f t="shared" si="63"/>
        <v>500300</v>
      </c>
      <c r="D132" s="19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24">
        <f>470200+30100</f>
        <v>500300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23"/>
      <c r="U132" s="6"/>
    </row>
    <row r="133" spans="1:21" x14ac:dyDescent="0.25">
      <c r="A133" s="13">
        <v>81</v>
      </c>
      <c r="B133" s="14" t="s">
        <v>23</v>
      </c>
      <c r="C133" s="19">
        <f t="shared" si="63"/>
        <v>88288.24</v>
      </c>
      <c r="D133" s="19">
        <v>0</v>
      </c>
      <c r="E133" s="22"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  <c r="M133" s="19">
        <v>0</v>
      </c>
      <c r="N133" s="24">
        <f>82976.47+5311.77</f>
        <v>88288.24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5"/>
      <c r="U133" s="6"/>
    </row>
    <row r="134" spans="1:21" ht="16.5" customHeight="1" x14ac:dyDescent="0.25">
      <c r="A134" s="13">
        <v>117</v>
      </c>
      <c r="B134" s="41" t="s">
        <v>140</v>
      </c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</row>
    <row r="135" spans="1:21" ht="45.75" customHeight="1" x14ac:dyDescent="0.25">
      <c r="A135" s="13">
        <v>118</v>
      </c>
      <c r="B135" s="14" t="s">
        <v>53</v>
      </c>
      <c r="C135" s="19">
        <f>SUM(D135:S135)</f>
        <v>52483715.75</v>
      </c>
      <c r="D135" s="19">
        <f t="shared" ref="D135:F138" si="65">D155</f>
        <v>8382797.5800000001</v>
      </c>
      <c r="E135" s="19">
        <f t="shared" si="65"/>
        <v>9195166.870000001</v>
      </c>
      <c r="F135" s="19">
        <f t="shared" si="65"/>
        <v>10544468.809999999</v>
      </c>
      <c r="G135" s="19">
        <f>G155+G150</f>
        <v>15151745.68</v>
      </c>
      <c r="H135" s="19">
        <f t="shared" ref="H135:S135" si="66">H155</f>
        <v>0</v>
      </c>
      <c r="I135" s="19">
        <f t="shared" si="66"/>
        <v>0</v>
      </c>
      <c r="J135" s="19">
        <f t="shared" si="66"/>
        <v>0</v>
      </c>
      <c r="K135" s="19">
        <f t="shared" si="66"/>
        <v>0</v>
      </c>
      <c r="L135" s="19">
        <f t="shared" si="66"/>
        <v>9209536.8099999987</v>
      </c>
      <c r="M135" s="19">
        <f t="shared" si="66"/>
        <v>0</v>
      </c>
      <c r="N135" s="19">
        <f t="shared" si="66"/>
        <v>0</v>
      </c>
      <c r="O135" s="19">
        <f t="shared" si="66"/>
        <v>0</v>
      </c>
      <c r="P135" s="19">
        <f t="shared" si="66"/>
        <v>0</v>
      </c>
      <c r="Q135" s="19">
        <f t="shared" si="66"/>
        <v>0</v>
      </c>
      <c r="R135" s="19">
        <f t="shared" si="66"/>
        <v>0</v>
      </c>
      <c r="S135" s="19">
        <f t="shared" si="66"/>
        <v>0</v>
      </c>
      <c r="T135" s="19" t="s">
        <v>54</v>
      </c>
    </row>
    <row r="136" spans="1:21" x14ac:dyDescent="0.25">
      <c r="A136" s="13">
        <v>119</v>
      </c>
      <c r="B136" s="14" t="s">
        <v>22</v>
      </c>
      <c r="C136" s="19">
        <f>SUM(D136:S136)</f>
        <v>1735077.36</v>
      </c>
      <c r="D136" s="19">
        <f t="shared" si="65"/>
        <v>0</v>
      </c>
      <c r="E136" s="19">
        <f t="shared" si="65"/>
        <v>47800</v>
      </c>
      <c r="F136" s="19">
        <f t="shared" si="65"/>
        <v>0</v>
      </c>
      <c r="G136" s="19">
        <f t="shared" ref="G136:S136" si="67">G156+G141</f>
        <v>1629714.77</v>
      </c>
      <c r="H136" s="19">
        <f t="shared" si="67"/>
        <v>0</v>
      </c>
      <c r="I136" s="19">
        <f t="shared" si="67"/>
        <v>0</v>
      </c>
      <c r="J136" s="19">
        <f t="shared" si="67"/>
        <v>0</v>
      </c>
      <c r="K136" s="19">
        <f t="shared" si="67"/>
        <v>0</v>
      </c>
      <c r="L136" s="19">
        <f t="shared" si="67"/>
        <v>57562.59</v>
      </c>
      <c r="M136" s="19">
        <f t="shared" si="67"/>
        <v>0</v>
      </c>
      <c r="N136" s="19">
        <f t="shared" si="67"/>
        <v>0</v>
      </c>
      <c r="O136" s="19">
        <f t="shared" si="67"/>
        <v>0</v>
      </c>
      <c r="P136" s="19">
        <f t="shared" si="67"/>
        <v>0</v>
      </c>
      <c r="Q136" s="19">
        <f t="shared" si="67"/>
        <v>0</v>
      </c>
      <c r="R136" s="19">
        <f t="shared" si="67"/>
        <v>0</v>
      </c>
      <c r="S136" s="19">
        <f t="shared" si="67"/>
        <v>0</v>
      </c>
      <c r="T136" s="19"/>
    </row>
    <row r="137" spans="1:21" x14ac:dyDescent="0.25">
      <c r="A137" s="13">
        <v>120</v>
      </c>
      <c r="B137" s="14" t="s">
        <v>23</v>
      </c>
      <c r="C137" s="19">
        <f>SUM(D137:S137)</f>
        <v>49838820.399999999</v>
      </c>
      <c r="D137" s="19">
        <f t="shared" si="65"/>
        <v>8337797.5800000001</v>
      </c>
      <c r="E137" s="19">
        <f t="shared" si="65"/>
        <v>9060472.0600000005</v>
      </c>
      <c r="F137" s="19">
        <f t="shared" si="65"/>
        <v>10466686.629999999</v>
      </c>
      <c r="G137" s="19">
        <f t="shared" ref="G137:S137" si="68">G157+G142</f>
        <v>13451030.91</v>
      </c>
      <c r="H137" s="19">
        <f t="shared" si="68"/>
        <v>0</v>
      </c>
      <c r="I137" s="19">
        <f t="shared" si="68"/>
        <v>0</v>
      </c>
      <c r="J137" s="19">
        <f t="shared" si="68"/>
        <v>0</v>
      </c>
      <c r="K137" s="19">
        <f t="shared" si="68"/>
        <v>0</v>
      </c>
      <c r="L137" s="19">
        <f t="shared" si="68"/>
        <v>8522833.2199999988</v>
      </c>
      <c r="M137" s="19">
        <f t="shared" si="68"/>
        <v>0</v>
      </c>
      <c r="N137" s="19">
        <f t="shared" si="68"/>
        <v>0</v>
      </c>
      <c r="O137" s="19">
        <f t="shared" si="68"/>
        <v>0</v>
      </c>
      <c r="P137" s="19">
        <f t="shared" si="68"/>
        <v>0</v>
      </c>
      <c r="Q137" s="19">
        <f t="shared" si="68"/>
        <v>0</v>
      </c>
      <c r="R137" s="19">
        <f t="shared" si="68"/>
        <v>0</v>
      </c>
      <c r="S137" s="19">
        <f t="shared" si="68"/>
        <v>0</v>
      </c>
      <c r="T137" s="19"/>
    </row>
    <row r="138" spans="1:21" ht="29.25" x14ac:dyDescent="0.25">
      <c r="A138" s="13">
        <v>121</v>
      </c>
      <c r="B138" s="14" t="s">
        <v>24</v>
      </c>
      <c r="C138" s="19">
        <f>SUM(D138:S138)</f>
        <v>909817.99</v>
      </c>
      <c r="D138" s="19">
        <f t="shared" si="65"/>
        <v>45000</v>
      </c>
      <c r="E138" s="19">
        <f t="shared" si="65"/>
        <v>86894.81</v>
      </c>
      <c r="F138" s="19">
        <f t="shared" si="65"/>
        <v>77782.179999999993</v>
      </c>
      <c r="G138" s="19">
        <f t="shared" ref="G138:S138" si="69">G158</f>
        <v>71000</v>
      </c>
      <c r="H138" s="19">
        <f t="shared" si="69"/>
        <v>0</v>
      </c>
      <c r="I138" s="19">
        <f t="shared" si="69"/>
        <v>0</v>
      </c>
      <c r="J138" s="19">
        <f t="shared" si="69"/>
        <v>0</v>
      </c>
      <c r="K138" s="19">
        <f t="shared" si="69"/>
        <v>0</v>
      </c>
      <c r="L138" s="19">
        <f t="shared" si="69"/>
        <v>629141</v>
      </c>
      <c r="M138" s="19">
        <f t="shared" si="69"/>
        <v>0</v>
      </c>
      <c r="N138" s="19">
        <f t="shared" si="69"/>
        <v>0</v>
      </c>
      <c r="O138" s="19">
        <f t="shared" si="69"/>
        <v>0</v>
      </c>
      <c r="P138" s="19">
        <f t="shared" si="69"/>
        <v>0</v>
      </c>
      <c r="Q138" s="19">
        <f t="shared" si="69"/>
        <v>0</v>
      </c>
      <c r="R138" s="19">
        <f t="shared" si="69"/>
        <v>0</v>
      </c>
      <c r="S138" s="19">
        <f t="shared" si="69"/>
        <v>0</v>
      </c>
      <c r="T138" s="19"/>
    </row>
    <row r="139" spans="1:21" x14ac:dyDescent="0.25">
      <c r="A139" s="13">
        <v>122</v>
      </c>
      <c r="B139" s="41" t="s">
        <v>29</v>
      </c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</row>
    <row r="140" spans="1:21" ht="55.15" customHeight="1" x14ac:dyDescent="0.25">
      <c r="A140" s="13">
        <v>123</v>
      </c>
      <c r="B140" s="14" t="s">
        <v>30</v>
      </c>
      <c r="C140" s="19">
        <f t="shared" ref="C140:S140" si="70">C145+C150</f>
        <v>0</v>
      </c>
      <c r="D140" s="19">
        <f t="shared" si="70"/>
        <v>0</v>
      </c>
      <c r="E140" s="19">
        <f t="shared" si="70"/>
        <v>0</v>
      </c>
      <c r="F140" s="19">
        <f t="shared" si="70"/>
        <v>0</v>
      </c>
      <c r="G140" s="19">
        <f t="shared" si="70"/>
        <v>0</v>
      </c>
      <c r="H140" s="19">
        <f t="shared" si="70"/>
        <v>0</v>
      </c>
      <c r="I140" s="19">
        <f t="shared" si="70"/>
        <v>0</v>
      </c>
      <c r="J140" s="19">
        <f t="shared" si="70"/>
        <v>0</v>
      </c>
      <c r="K140" s="19">
        <f t="shared" si="70"/>
        <v>0</v>
      </c>
      <c r="L140" s="19">
        <f t="shared" si="70"/>
        <v>0</v>
      </c>
      <c r="M140" s="19">
        <f t="shared" si="70"/>
        <v>0</v>
      </c>
      <c r="N140" s="19">
        <f t="shared" si="70"/>
        <v>0</v>
      </c>
      <c r="O140" s="19">
        <f t="shared" si="70"/>
        <v>0</v>
      </c>
      <c r="P140" s="19">
        <f t="shared" si="70"/>
        <v>0</v>
      </c>
      <c r="Q140" s="19">
        <f t="shared" si="70"/>
        <v>0</v>
      </c>
      <c r="R140" s="19">
        <f t="shared" si="70"/>
        <v>0</v>
      </c>
      <c r="S140" s="19">
        <f t="shared" si="70"/>
        <v>0</v>
      </c>
      <c r="T140" s="19"/>
    </row>
    <row r="141" spans="1:21" x14ac:dyDescent="0.25">
      <c r="A141" s="13">
        <v>124</v>
      </c>
      <c r="B141" s="14" t="s">
        <v>22</v>
      </c>
      <c r="C141" s="19">
        <f t="shared" ref="C141:S141" si="71">C146+C151</f>
        <v>0</v>
      </c>
      <c r="D141" s="19">
        <f t="shared" si="71"/>
        <v>0</v>
      </c>
      <c r="E141" s="19">
        <f t="shared" si="71"/>
        <v>0</v>
      </c>
      <c r="F141" s="19">
        <f t="shared" si="71"/>
        <v>0</v>
      </c>
      <c r="G141" s="19">
        <f t="shared" si="71"/>
        <v>0</v>
      </c>
      <c r="H141" s="19">
        <f t="shared" si="71"/>
        <v>0</v>
      </c>
      <c r="I141" s="19">
        <f t="shared" si="71"/>
        <v>0</v>
      </c>
      <c r="J141" s="19">
        <f t="shared" si="71"/>
        <v>0</v>
      </c>
      <c r="K141" s="19">
        <f t="shared" si="71"/>
        <v>0</v>
      </c>
      <c r="L141" s="19">
        <f t="shared" si="71"/>
        <v>0</v>
      </c>
      <c r="M141" s="19">
        <f t="shared" si="71"/>
        <v>0</v>
      </c>
      <c r="N141" s="19">
        <f t="shared" si="71"/>
        <v>0</v>
      </c>
      <c r="O141" s="19">
        <f t="shared" si="71"/>
        <v>0</v>
      </c>
      <c r="P141" s="19">
        <f t="shared" si="71"/>
        <v>0</v>
      </c>
      <c r="Q141" s="19">
        <f t="shared" si="71"/>
        <v>0</v>
      </c>
      <c r="R141" s="19">
        <f t="shared" si="71"/>
        <v>0</v>
      </c>
      <c r="S141" s="19">
        <f t="shared" si="71"/>
        <v>0</v>
      </c>
      <c r="T141" s="19"/>
    </row>
    <row r="142" spans="1:21" x14ac:dyDescent="0.25">
      <c r="A142" s="13">
        <v>125</v>
      </c>
      <c r="B142" s="14" t="s">
        <v>23</v>
      </c>
      <c r="C142" s="19">
        <f t="shared" ref="C142:S142" si="72">C147+C152</f>
        <v>0</v>
      </c>
      <c r="D142" s="19">
        <f t="shared" si="72"/>
        <v>0</v>
      </c>
      <c r="E142" s="19">
        <f t="shared" si="72"/>
        <v>0</v>
      </c>
      <c r="F142" s="19">
        <f t="shared" si="72"/>
        <v>0</v>
      </c>
      <c r="G142" s="19">
        <f t="shared" si="72"/>
        <v>0</v>
      </c>
      <c r="H142" s="19">
        <f t="shared" si="72"/>
        <v>0</v>
      </c>
      <c r="I142" s="19">
        <f t="shared" si="72"/>
        <v>0</v>
      </c>
      <c r="J142" s="19">
        <f t="shared" si="72"/>
        <v>0</v>
      </c>
      <c r="K142" s="19">
        <f t="shared" si="72"/>
        <v>0</v>
      </c>
      <c r="L142" s="19">
        <f t="shared" si="72"/>
        <v>0</v>
      </c>
      <c r="M142" s="19">
        <f t="shared" si="72"/>
        <v>0</v>
      </c>
      <c r="N142" s="19">
        <f t="shared" si="72"/>
        <v>0</v>
      </c>
      <c r="O142" s="19">
        <f t="shared" si="72"/>
        <v>0</v>
      </c>
      <c r="P142" s="19">
        <f t="shared" si="72"/>
        <v>0</v>
      </c>
      <c r="Q142" s="19">
        <f t="shared" si="72"/>
        <v>0</v>
      </c>
      <c r="R142" s="19">
        <f t="shared" si="72"/>
        <v>0</v>
      </c>
      <c r="S142" s="19">
        <f t="shared" si="72"/>
        <v>0</v>
      </c>
      <c r="T142" s="19"/>
    </row>
    <row r="143" spans="1:21" ht="29.25" x14ac:dyDescent="0.25">
      <c r="A143" s="13">
        <v>126</v>
      </c>
      <c r="B143" s="14" t="s">
        <v>24</v>
      </c>
      <c r="C143" s="19">
        <f t="shared" ref="C143:S143" si="73">C148+C153</f>
        <v>0</v>
      </c>
      <c r="D143" s="19">
        <f t="shared" si="73"/>
        <v>0</v>
      </c>
      <c r="E143" s="19">
        <f t="shared" si="73"/>
        <v>0</v>
      </c>
      <c r="F143" s="19">
        <f t="shared" si="73"/>
        <v>0</v>
      </c>
      <c r="G143" s="19">
        <f t="shared" si="73"/>
        <v>0</v>
      </c>
      <c r="H143" s="19">
        <f t="shared" si="73"/>
        <v>0</v>
      </c>
      <c r="I143" s="19">
        <f t="shared" si="73"/>
        <v>0</v>
      </c>
      <c r="J143" s="19">
        <f t="shared" si="73"/>
        <v>0</v>
      </c>
      <c r="K143" s="19">
        <f t="shared" si="73"/>
        <v>0</v>
      </c>
      <c r="L143" s="19">
        <f t="shared" si="73"/>
        <v>0</v>
      </c>
      <c r="M143" s="19">
        <f t="shared" si="73"/>
        <v>0</v>
      </c>
      <c r="N143" s="19">
        <f t="shared" si="73"/>
        <v>0</v>
      </c>
      <c r="O143" s="19">
        <f t="shared" si="73"/>
        <v>0</v>
      </c>
      <c r="P143" s="19">
        <f t="shared" si="73"/>
        <v>0</v>
      </c>
      <c r="Q143" s="19">
        <f t="shared" si="73"/>
        <v>0</v>
      </c>
      <c r="R143" s="19">
        <f t="shared" si="73"/>
        <v>0</v>
      </c>
      <c r="S143" s="19">
        <f t="shared" si="73"/>
        <v>0</v>
      </c>
      <c r="T143" s="19"/>
    </row>
    <row r="144" spans="1:21" ht="21" customHeight="1" x14ac:dyDescent="0.25">
      <c r="A144" s="13">
        <v>127</v>
      </c>
      <c r="B144" s="41" t="s">
        <v>31</v>
      </c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</row>
    <row r="145" spans="1:20" ht="67.900000000000006" customHeight="1" x14ac:dyDescent="0.25">
      <c r="A145" s="13">
        <v>128</v>
      </c>
      <c r="B145" s="14" t="s">
        <v>32</v>
      </c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</row>
    <row r="146" spans="1:20" x14ac:dyDescent="0.25">
      <c r="A146" s="13">
        <v>129</v>
      </c>
      <c r="B146" s="14" t="s">
        <v>22</v>
      </c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</row>
    <row r="147" spans="1:20" x14ac:dyDescent="0.25">
      <c r="A147" s="13">
        <v>130</v>
      </c>
      <c r="B147" s="14" t="s">
        <v>23</v>
      </c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</row>
    <row r="148" spans="1:20" ht="29.25" x14ac:dyDescent="0.25">
      <c r="A148" s="13">
        <v>131</v>
      </c>
      <c r="B148" s="14" t="s">
        <v>24</v>
      </c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</row>
    <row r="149" spans="1:20" ht="21.75" customHeight="1" x14ac:dyDescent="0.25">
      <c r="A149" s="13">
        <v>132</v>
      </c>
      <c r="B149" s="41" t="s">
        <v>33</v>
      </c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</row>
    <row r="150" spans="1:20" ht="45" customHeight="1" x14ac:dyDescent="0.25">
      <c r="A150" s="13">
        <v>133</v>
      </c>
      <c r="B150" s="14" t="s">
        <v>34</v>
      </c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</row>
    <row r="151" spans="1:20" x14ac:dyDescent="0.25">
      <c r="A151" s="13">
        <v>134</v>
      </c>
      <c r="B151" s="14" t="s">
        <v>22</v>
      </c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</row>
    <row r="152" spans="1:20" ht="18" customHeight="1" x14ac:dyDescent="0.25">
      <c r="A152" s="13">
        <v>135</v>
      </c>
      <c r="B152" s="14" t="s">
        <v>23</v>
      </c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</row>
    <row r="153" spans="1:20" ht="29.25" x14ac:dyDescent="0.25">
      <c r="A153" s="13">
        <v>136</v>
      </c>
      <c r="B153" s="14" t="s">
        <v>24</v>
      </c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</row>
    <row r="154" spans="1:20" ht="15.75" customHeight="1" x14ac:dyDescent="0.25">
      <c r="A154" s="13">
        <v>137</v>
      </c>
      <c r="B154" s="41" t="s">
        <v>35</v>
      </c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</row>
    <row r="155" spans="1:20" ht="43.5" x14ac:dyDescent="0.25">
      <c r="A155" s="13">
        <v>138</v>
      </c>
      <c r="B155" s="14" t="s">
        <v>36</v>
      </c>
      <c r="C155" s="19">
        <f t="shared" ref="C155:C183" si="74">SUM(D155:S155)</f>
        <v>52483715.75</v>
      </c>
      <c r="D155" s="19">
        <f>D159+D163+D167</f>
        <v>8382797.5800000001</v>
      </c>
      <c r="E155" s="19">
        <f>E159+E163+E167</f>
        <v>9195166.870000001</v>
      </c>
      <c r="F155" s="19">
        <f>F159+F163+F167</f>
        <v>10544468.809999999</v>
      </c>
      <c r="G155" s="19">
        <f>G159+G163+G167+G175+G171</f>
        <v>15151745.68</v>
      </c>
      <c r="H155" s="19">
        <f>H159+H163+H167+H175+H171</f>
        <v>0</v>
      </c>
      <c r="I155" s="19">
        <f>I159+I163+I167+I175+I171</f>
        <v>0</v>
      </c>
      <c r="J155" s="19">
        <f>J159+J163+J167+J175+J171</f>
        <v>0</v>
      </c>
      <c r="K155" s="19">
        <f>K159+K163+K167+K175+K171</f>
        <v>0</v>
      </c>
      <c r="L155" s="19">
        <f>L159+L163+L167+L175+L171+L179+L182+L184</f>
        <v>9209536.8099999987</v>
      </c>
      <c r="M155" s="19">
        <f t="shared" ref="M155:S155" si="75">M159+M163+M167+M175+M171+M179+M182</f>
        <v>0</v>
      </c>
      <c r="N155" s="19">
        <f t="shared" si="75"/>
        <v>0</v>
      </c>
      <c r="O155" s="19">
        <f t="shared" si="75"/>
        <v>0</v>
      </c>
      <c r="P155" s="19">
        <f t="shared" si="75"/>
        <v>0</v>
      </c>
      <c r="Q155" s="19">
        <f t="shared" si="75"/>
        <v>0</v>
      </c>
      <c r="R155" s="19">
        <f t="shared" si="75"/>
        <v>0</v>
      </c>
      <c r="S155" s="19">
        <f t="shared" si="75"/>
        <v>0</v>
      </c>
      <c r="T155" s="19" t="s">
        <v>54</v>
      </c>
    </row>
    <row r="156" spans="1:20" ht="15.75" customHeight="1" x14ac:dyDescent="0.25">
      <c r="A156" s="13">
        <v>139</v>
      </c>
      <c r="B156" s="14" t="s">
        <v>22</v>
      </c>
      <c r="C156" s="19">
        <f t="shared" si="74"/>
        <v>1735077.36</v>
      </c>
      <c r="D156" s="19">
        <f>D160+D164</f>
        <v>0</v>
      </c>
      <c r="E156" s="19">
        <f>E160+E164</f>
        <v>47800</v>
      </c>
      <c r="F156" s="19">
        <f>F160+F164</f>
        <v>0</v>
      </c>
      <c r="G156" s="19">
        <f>G160+G164+G176+G172+G168</f>
        <v>1629714.77</v>
      </c>
      <c r="H156" s="19">
        <f>H160+H164</f>
        <v>0</v>
      </c>
      <c r="I156" s="19">
        <f>I160+I164</f>
        <v>0</v>
      </c>
      <c r="J156" s="19">
        <f>J160+J164</f>
        <v>0</v>
      </c>
      <c r="K156" s="19">
        <f>K160+K164</f>
        <v>0</v>
      </c>
      <c r="L156" s="19">
        <f>L160+L164+L185</f>
        <v>57562.59</v>
      </c>
      <c r="M156" s="19">
        <f>M160+M164</f>
        <v>0</v>
      </c>
      <c r="N156" s="19">
        <f t="shared" ref="N156:S156" si="76">N160+N164+N168+N176+N172</f>
        <v>0</v>
      </c>
      <c r="O156" s="19">
        <f t="shared" si="76"/>
        <v>0</v>
      </c>
      <c r="P156" s="19">
        <f t="shared" si="76"/>
        <v>0</v>
      </c>
      <c r="Q156" s="19">
        <f t="shared" si="76"/>
        <v>0</v>
      </c>
      <c r="R156" s="19">
        <f t="shared" si="76"/>
        <v>0</v>
      </c>
      <c r="S156" s="19">
        <f t="shared" si="76"/>
        <v>0</v>
      </c>
      <c r="T156" s="19"/>
    </row>
    <row r="157" spans="1:20" ht="15.75" customHeight="1" x14ac:dyDescent="0.25">
      <c r="A157" s="13">
        <v>140</v>
      </c>
      <c r="B157" s="14" t="s">
        <v>23</v>
      </c>
      <c r="C157" s="19">
        <f t="shared" si="74"/>
        <v>49838820.399999999</v>
      </c>
      <c r="D157" s="19">
        <f>D161+D165+D169</f>
        <v>8337797.5800000001</v>
      </c>
      <c r="E157" s="19">
        <f>E161+E165+E169</f>
        <v>9060472.0600000005</v>
      </c>
      <c r="F157" s="19">
        <f>F161+F165+F169</f>
        <v>10466686.629999999</v>
      </c>
      <c r="G157" s="19">
        <f>G161+G165+G169+G177+G173</f>
        <v>13451030.91</v>
      </c>
      <c r="H157" s="19">
        <f>H161+H165+H169+H177+H173</f>
        <v>0</v>
      </c>
      <c r="I157" s="19">
        <f>I161+I165+I169+I177+I173</f>
        <v>0</v>
      </c>
      <c r="J157" s="19">
        <f>J161+J165+J169+J177+J173</f>
        <v>0</v>
      </c>
      <c r="K157" s="19">
        <f>K161+K165+K169+K177+K173</f>
        <v>0</v>
      </c>
      <c r="L157" s="19">
        <f t="shared" ref="L157:S157" si="77">L161+L165+L169+L177+L173+L180+L183</f>
        <v>8522833.2199999988</v>
      </c>
      <c r="M157" s="19">
        <f t="shared" si="77"/>
        <v>0</v>
      </c>
      <c r="N157" s="19">
        <f t="shared" si="77"/>
        <v>0</v>
      </c>
      <c r="O157" s="19">
        <f t="shared" si="77"/>
        <v>0</v>
      </c>
      <c r="P157" s="19">
        <f t="shared" si="77"/>
        <v>0</v>
      </c>
      <c r="Q157" s="19">
        <f t="shared" si="77"/>
        <v>0</v>
      </c>
      <c r="R157" s="19">
        <f t="shared" si="77"/>
        <v>0</v>
      </c>
      <c r="S157" s="19">
        <f t="shared" si="77"/>
        <v>0</v>
      </c>
      <c r="T157" s="19"/>
    </row>
    <row r="158" spans="1:20" ht="29.25" x14ac:dyDescent="0.25">
      <c r="A158" s="13">
        <v>141</v>
      </c>
      <c r="B158" s="14" t="s">
        <v>24</v>
      </c>
      <c r="C158" s="19">
        <f t="shared" si="74"/>
        <v>909817.99</v>
      </c>
      <c r="D158" s="19">
        <f>D162+D166</f>
        <v>45000</v>
      </c>
      <c r="E158" s="19">
        <f>E162+E166</f>
        <v>86894.81</v>
      </c>
      <c r="F158" s="19">
        <f>F162+F166</f>
        <v>77782.179999999993</v>
      </c>
      <c r="G158" s="19">
        <f>G162+G166+G170+G174+G178</f>
        <v>71000</v>
      </c>
      <c r="H158" s="19"/>
      <c r="I158" s="19"/>
      <c r="J158" s="19"/>
      <c r="K158" s="19">
        <f>K162+K166</f>
        <v>0</v>
      </c>
      <c r="L158" s="19">
        <f t="shared" ref="L158:S158" si="78">L181</f>
        <v>629141</v>
      </c>
      <c r="M158" s="19">
        <f t="shared" si="78"/>
        <v>0</v>
      </c>
      <c r="N158" s="19">
        <f t="shared" si="78"/>
        <v>0</v>
      </c>
      <c r="O158" s="19">
        <f t="shared" si="78"/>
        <v>0</v>
      </c>
      <c r="P158" s="19">
        <f t="shared" si="78"/>
        <v>0</v>
      </c>
      <c r="Q158" s="19">
        <f t="shared" si="78"/>
        <v>0</v>
      </c>
      <c r="R158" s="19">
        <f t="shared" si="78"/>
        <v>0</v>
      </c>
      <c r="S158" s="19">
        <f t="shared" si="78"/>
        <v>0</v>
      </c>
      <c r="T158" s="19"/>
    </row>
    <row r="159" spans="1:20" ht="123.75" customHeight="1" x14ac:dyDescent="0.25">
      <c r="A159" s="13">
        <v>142</v>
      </c>
      <c r="B159" s="32" t="s">
        <v>103</v>
      </c>
      <c r="C159" s="19">
        <f t="shared" si="74"/>
        <v>41137140.920000002</v>
      </c>
      <c r="D159" s="19">
        <f t="shared" ref="D159:S159" si="79">SUM(D160:D162)</f>
        <v>8243017.9800000004</v>
      </c>
      <c r="E159" s="19">
        <f t="shared" si="79"/>
        <v>9021116.870000001</v>
      </c>
      <c r="F159" s="19">
        <f t="shared" si="79"/>
        <v>10308235.389999999</v>
      </c>
      <c r="G159" s="19">
        <f t="shared" si="79"/>
        <v>13564770.68</v>
      </c>
      <c r="H159" s="19">
        <f t="shared" si="79"/>
        <v>0</v>
      </c>
      <c r="I159" s="19">
        <f t="shared" si="79"/>
        <v>0</v>
      </c>
      <c r="J159" s="19">
        <f t="shared" si="79"/>
        <v>0</v>
      </c>
      <c r="K159" s="19">
        <f t="shared" si="79"/>
        <v>0</v>
      </c>
      <c r="L159" s="19">
        <f t="shared" si="79"/>
        <v>0</v>
      </c>
      <c r="M159" s="19">
        <f t="shared" si="79"/>
        <v>0</v>
      </c>
      <c r="N159" s="19">
        <f t="shared" si="79"/>
        <v>0</v>
      </c>
      <c r="O159" s="19">
        <f t="shared" si="79"/>
        <v>0</v>
      </c>
      <c r="P159" s="19">
        <f t="shared" si="79"/>
        <v>0</v>
      </c>
      <c r="Q159" s="19">
        <f t="shared" si="79"/>
        <v>0</v>
      </c>
      <c r="R159" s="19">
        <f t="shared" si="79"/>
        <v>0</v>
      </c>
      <c r="S159" s="19">
        <f t="shared" si="79"/>
        <v>0</v>
      </c>
      <c r="T159" s="19" t="s">
        <v>54</v>
      </c>
    </row>
    <row r="160" spans="1:20" x14ac:dyDescent="0.25">
      <c r="A160" s="13">
        <v>143</v>
      </c>
      <c r="B160" s="14" t="s">
        <v>22</v>
      </c>
      <c r="C160" s="19">
        <f t="shared" si="74"/>
        <v>950714.77</v>
      </c>
      <c r="D160" s="19">
        <v>0</v>
      </c>
      <c r="E160" s="19">
        <v>0</v>
      </c>
      <c r="F160" s="19"/>
      <c r="G160" s="19">
        <f>950714.77</f>
        <v>950714.77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/>
    </row>
    <row r="161" spans="1:20" ht="15" customHeight="1" x14ac:dyDescent="0.25">
      <c r="A161" s="13">
        <v>144</v>
      </c>
      <c r="B161" s="14" t="s">
        <v>23</v>
      </c>
      <c r="C161" s="19">
        <f t="shared" si="74"/>
        <v>39992999.159999996</v>
      </c>
      <c r="D161" s="22">
        <f>6041955.62+7100+333460.65+1104174.32+84185.03+4239.02+647903.34</f>
        <v>8223017.9800000004</v>
      </c>
      <c r="E161" s="22">
        <f>9294981.23-334509.17</f>
        <v>8960472.0600000005</v>
      </c>
      <c r="F161" s="22">
        <f>8289190.75-150000+219027.8+179953.63+22500+25052.19+362802.45+895539.79+404386.6</f>
        <v>10248453.209999999</v>
      </c>
      <c r="G161" s="19">
        <f>3619911.42+1038125+3437500+211417+314869+182869+207417.85+286638.98+62838.77+94745.7+448990.22+736114.04+1919623.93-5</f>
        <v>12561055.91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/>
    </row>
    <row r="162" spans="1:20" ht="29.25" x14ac:dyDescent="0.25">
      <c r="A162" s="13">
        <v>145</v>
      </c>
      <c r="B162" s="14" t="s">
        <v>24</v>
      </c>
      <c r="C162" s="19">
        <f t="shared" si="74"/>
        <v>193426.99</v>
      </c>
      <c r="D162" s="19">
        <v>20000</v>
      </c>
      <c r="E162" s="19">
        <f>D162*1.05+39644.81</f>
        <v>60644.81</v>
      </c>
      <c r="F162" s="19">
        <v>59782.18</v>
      </c>
      <c r="G162" s="19">
        <v>53000</v>
      </c>
      <c r="H162" s="19">
        <v>0</v>
      </c>
      <c r="I162" s="19">
        <v>0</v>
      </c>
      <c r="J162" s="19">
        <v>0</v>
      </c>
      <c r="K162" s="19">
        <f t="shared" ref="K162:S162" si="80">J162*1.05</f>
        <v>0</v>
      </c>
      <c r="L162" s="19">
        <f t="shared" si="80"/>
        <v>0</v>
      </c>
      <c r="M162" s="19">
        <f t="shared" si="80"/>
        <v>0</v>
      </c>
      <c r="N162" s="19">
        <f t="shared" si="80"/>
        <v>0</v>
      </c>
      <c r="O162" s="19">
        <f t="shared" si="80"/>
        <v>0</v>
      </c>
      <c r="P162" s="19">
        <f t="shared" si="80"/>
        <v>0</v>
      </c>
      <c r="Q162" s="19">
        <f t="shared" si="80"/>
        <v>0</v>
      </c>
      <c r="R162" s="19">
        <f t="shared" si="80"/>
        <v>0</v>
      </c>
      <c r="S162" s="19">
        <f t="shared" si="80"/>
        <v>0</v>
      </c>
      <c r="T162" s="19"/>
    </row>
    <row r="163" spans="1:20" ht="270" customHeight="1" x14ac:dyDescent="0.25">
      <c r="A163" s="13">
        <v>146</v>
      </c>
      <c r="B163" s="32" t="s">
        <v>104</v>
      </c>
      <c r="C163" s="19">
        <f t="shared" si="74"/>
        <v>325258.42</v>
      </c>
      <c r="D163" s="19">
        <f>SUM(D164:D166)</f>
        <v>25000</v>
      </c>
      <c r="E163" s="19">
        <f>SUM(E164:E166)</f>
        <v>106050</v>
      </c>
      <c r="F163" s="19">
        <f>SUM(F164:F166)</f>
        <v>86233.42</v>
      </c>
      <c r="G163" s="19">
        <f>SUM(G164:G166)</f>
        <v>107975</v>
      </c>
      <c r="H163" s="19">
        <v>0</v>
      </c>
      <c r="I163" s="19">
        <v>0</v>
      </c>
      <c r="J163" s="19">
        <v>0</v>
      </c>
      <c r="K163" s="19">
        <f t="shared" ref="K163:S163" si="81">SUM(K164:K166)</f>
        <v>0</v>
      </c>
      <c r="L163" s="19">
        <f t="shared" si="81"/>
        <v>0</v>
      </c>
      <c r="M163" s="19">
        <f t="shared" si="81"/>
        <v>0</v>
      </c>
      <c r="N163" s="19">
        <f t="shared" si="81"/>
        <v>0</v>
      </c>
      <c r="O163" s="19">
        <f t="shared" si="81"/>
        <v>0</v>
      </c>
      <c r="P163" s="19">
        <f t="shared" si="81"/>
        <v>0</v>
      </c>
      <c r="Q163" s="19">
        <f t="shared" si="81"/>
        <v>0</v>
      </c>
      <c r="R163" s="19">
        <f t="shared" si="81"/>
        <v>0</v>
      </c>
      <c r="S163" s="19">
        <f t="shared" si="81"/>
        <v>0</v>
      </c>
      <c r="T163" s="19" t="s">
        <v>54</v>
      </c>
    </row>
    <row r="164" spans="1:20" ht="15.75" customHeight="1" x14ac:dyDescent="0.25">
      <c r="A164" s="13">
        <v>147</v>
      </c>
      <c r="B164" s="14" t="s">
        <v>22</v>
      </c>
      <c r="C164" s="19">
        <f t="shared" si="74"/>
        <v>47800</v>
      </c>
      <c r="D164" s="19">
        <v>0</v>
      </c>
      <c r="E164" s="19">
        <v>47800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5"/>
    </row>
    <row r="165" spans="1:20" ht="15.75" customHeight="1" x14ac:dyDescent="0.25">
      <c r="A165" s="13">
        <v>148</v>
      </c>
      <c r="B165" s="14" t="s">
        <v>23</v>
      </c>
      <c r="C165" s="19">
        <f t="shared" si="74"/>
        <v>190208.41999999998</v>
      </c>
      <c r="D165" s="22">
        <v>0</v>
      </c>
      <c r="E165" s="22">
        <v>32000</v>
      </c>
      <c r="F165" s="22">
        <f>150000-81700-66.58</f>
        <v>68233.42</v>
      </c>
      <c r="G165" s="19">
        <f>100000-10025</f>
        <v>89975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5"/>
    </row>
    <row r="166" spans="1:20" ht="33" customHeight="1" x14ac:dyDescent="0.25">
      <c r="A166" s="13">
        <v>149</v>
      </c>
      <c r="B166" s="14" t="s">
        <v>24</v>
      </c>
      <c r="C166" s="19">
        <f t="shared" si="74"/>
        <v>87250</v>
      </c>
      <c r="D166" s="19">
        <v>25000</v>
      </c>
      <c r="E166" s="19">
        <f>D166*1.05</f>
        <v>26250</v>
      </c>
      <c r="F166" s="19">
        <v>18000</v>
      </c>
      <c r="G166" s="19">
        <v>18000</v>
      </c>
      <c r="H166" s="19">
        <v>0</v>
      </c>
      <c r="I166" s="19">
        <f t="shared" ref="I166:S166" si="82">H166*1.05</f>
        <v>0</v>
      </c>
      <c r="J166" s="19">
        <f t="shared" si="82"/>
        <v>0</v>
      </c>
      <c r="K166" s="19">
        <f t="shared" si="82"/>
        <v>0</v>
      </c>
      <c r="L166" s="19">
        <f t="shared" si="82"/>
        <v>0</v>
      </c>
      <c r="M166" s="19">
        <f t="shared" si="82"/>
        <v>0</v>
      </c>
      <c r="N166" s="19">
        <f t="shared" si="82"/>
        <v>0</v>
      </c>
      <c r="O166" s="19">
        <f t="shared" si="82"/>
        <v>0</v>
      </c>
      <c r="P166" s="19">
        <f t="shared" si="82"/>
        <v>0</v>
      </c>
      <c r="Q166" s="19">
        <f t="shared" si="82"/>
        <v>0</v>
      </c>
      <c r="R166" s="19">
        <f t="shared" si="82"/>
        <v>0</v>
      </c>
      <c r="S166" s="19">
        <f t="shared" si="82"/>
        <v>0</v>
      </c>
      <c r="T166" s="15"/>
    </row>
    <row r="167" spans="1:20" ht="92.25" customHeight="1" x14ac:dyDescent="0.25">
      <c r="A167" s="13">
        <v>150</v>
      </c>
      <c r="B167" s="32" t="s">
        <v>105</v>
      </c>
      <c r="C167" s="19">
        <f t="shared" si="74"/>
        <v>632779.6</v>
      </c>
      <c r="D167" s="19">
        <f t="shared" ref="D167:S167" si="83">SUM(D168:D170)</f>
        <v>114779.6</v>
      </c>
      <c r="E167" s="19">
        <f t="shared" si="83"/>
        <v>68000</v>
      </c>
      <c r="F167" s="19">
        <f t="shared" si="83"/>
        <v>150000</v>
      </c>
      <c r="G167" s="19">
        <f t="shared" si="83"/>
        <v>300000</v>
      </c>
      <c r="H167" s="19">
        <f t="shared" si="83"/>
        <v>0</v>
      </c>
      <c r="I167" s="19">
        <f t="shared" si="83"/>
        <v>0</v>
      </c>
      <c r="J167" s="19">
        <f t="shared" si="83"/>
        <v>0</v>
      </c>
      <c r="K167" s="19">
        <f t="shared" si="83"/>
        <v>0</v>
      </c>
      <c r="L167" s="19">
        <f t="shared" si="83"/>
        <v>0</v>
      </c>
      <c r="M167" s="19">
        <f t="shared" si="83"/>
        <v>0</v>
      </c>
      <c r="N167" s="19">
        <f t="shared" si="83"/>
        <v>0</v>
      </c>
      <c r="O167" s="19">
        <f t="shared" si="83"/>
        <v>0</v>
      </c>
      <c r="P167" s="19">
        <f t="shared" si="83"/>
        <v>0</v>
      </c>
      <c r="Q167" s="19">
        <f t="shared" si="83"/>
        <v>0</v>
      </c>
      <c r="R167" s="19">
        <f t="shared" si="83"/>
        <v>0</v>
      </c>
      <c r="S167" s="19">
        <f t="shared" si="83"/>
        <v>0</v>
      </c>
      <c r="T167" s="19">
        <f>SUM(T155:T166)</f>
        <v>0</v>
      </c>
    </row>
    <row r="168" spans="1:20" x14ac:dyDescent="0.25">
      <c r="A168" s="13">
        <v>151</v>
      </c>
      <c r="B168" s="14" t="s">
        <v>22</v>
      </c>
      <c r="C168" s="19">
        <f t="shared" si="74"/>
        <v>0</v>
      </c>
      <c r="D168" s="19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5"/>
    </row>
    <row r="169" spans="1:20" ht="18.75" customHeight="1" x14ac:dyDescent="0.25">
      <c r="A169" s="13">
        <v>152</v>
      </c>
      <c r="B169" s="14" t="s">
        <v>23</v>
      </c>
      <c r="C169" s="19">
        <f t="shared" si="74"/>
        <v>632779.6</v>
      </c>
      <c r="D169" s="19">
        <f>115000-220.4</f>
        <v>114779.6</v>
      </c>
      <c r="E169" s="22">
        <v>68000</v>
      </c>
      <c r="F169" s="19">
        <f>150000</f>
        <v>150000</v>
      </c>
      <c r="G169" s="19">
        <v>300000</v>
      </c>
      <c r="H169" s="19">
        <v>0</v>
      </c>
      <c r="I169" s="19">
        <v>0</v>
      </c>
      <c r="J169" s="19">
        <v>0</v>
      </c>
      <c r="K169" s="19">
        <v>0</v>
      </c>
      <c r="L169" s="19">
        <v>0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5"/>
    </row>
    <row r="170" spans="1:20" ht="38.25" customHeight="1" x14ac:dyDescent="0.25">
      <c r="A170" s="13">
        <v>153</v>
      </c>
      <c r="B170" s="14" t="s">
        <v>24</v>
      </c>
      <c r="C170" s="19">
        <f t="shared" si="74"/>
        <v>0</v>
      </c>
      <c r="D170" s="19">
        <v>0</v>
      </c>
      <c r="E170" s="19">
        <v>0</v>
      </c>
      <c r="F170" s="19">
        <v>0</v>
      </c>
      <c r="G170" s="19">
        <v>0</v>
      </c>
      <c r="H170" s="19">
        <v>0</v>
      </c>
      <c r="I170" s="19">
        <v>0</v>
      </c>
      <c r="J170" s="19">
        <v>0</v>
      </c>
      <c r="K170" s="19">
        <v>0</v>
      </c>
      <c r="L170" s="19">
        <v>0</v>
      </c>
      <c r="M170" s="19">
        <v>0</v>
      </c>
      <c r="N170" s="19">
        <v>0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5"/>
    </row>
    <row r="171" spans="1:20" ht="348.75" customHeight="1" x14ac:dyDescent="0.25">
      <c r="A171" s="13">
        <v>154</v>
      </c>
      <c r="B171" s="32" t="s">
        <v>106</v>
      </c>
      <c r="C171" s="19">
        <f t="shared" si="74"/>
        <v>179000</v>
      </c>
      <c r="D171" s="19">
        <f t="shared" ref="D171:S171" si="84">SUM(D172:D174)</f>
        <v>0</v>
      </c>
      <c r="E171" s="19">
        <f t="shared" si="84"/>
        <v>0</v>
      </c>
      <c r="F171" s="19">
        <f t="shared" si="84"/>
        <v>0</v>
      </c>
      <c r="G171" s="19">
        <f t="shared" si="84"/>
        <v>179000</v>
      </c>
      <c r="H171" s="19">
        <f t="shared" si="84"/>
        <v>0</v>
      </c>
      <c r="I171" s="19">
        <f t="shared" si="84"/>
        <v>0</v>
      </c>
      <c r="J171" s="19">
        <f t="shared" si="84"/>
        <v>0</v>
      </c>
      <c r="K171" s="19">
        <f t="shared" si="84"/>
        <v>0</v>
      </c>
      <c r="L171" s="19">
        <f t="shared" si="84"/>
        <v>0</v>
      </c>
      <c r="M171" s="19">
        <f t="shared" si="84"/>
        <v>0</v>
      </c>
      <c r="N171" s="19">
        <f t="shared" si="84"/>
        <v>0</v>
      </c>
      <c r="O171" s="19">
        <f t="shared" si="84"/>
        <v>0</v>
      </c>
      <c r="P171" s="19">
        <f t="shared" si="84"/>
        <v>0</v>
      </c>
      <c r="Q171" s="19">
        <f t="shared" si="84"/>
        <v>0</v>
      </c>
      <c r="R171" s="19">
        <f t="shared" si="84"/>
        <v>0</v>
      </c>
      <c r="S171" s="19">
        <f t="shared" si="84"/>
        <v>0</v>
      </c>
      <c r="T171" s="15" t="s">
        <v>55</v>
      </c>
    </row>
    <row r="172" spans="1:20" x14ac:dyDescent="0.25">
      <c r="A172" s="13">
        <v>155</v>
      </c>
      <c r="B172" s="14" t="s">
        <v>22</v>
      </c>
      <c r="C172" s="19">
        <f t="shared" si="74"/>
        <v>179000</v>
      </c>
      <c r="D172" s="19">
        <v>0</v>
      </c>
      <c r="E172" s="19">
        <v>0</v>
      </c>
      <c r="F172" s="19">
        <v>0</v>
      </c>
      <c r="G172" s="19">
        <v>179000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5"/>
    </row>
    <row r="173" spans="1:20" x14ac:dyDescent="0.25">
      <c r="A173" s="13">
        <v>156</v>
      </c>
      <c r="B173" s="14" t="s">
        <v>23</v>
      </c>
      <c r="C173" s="19">
        <f t="shared" si="74"/>
        <v>0</v>
      </c>
      <c r="D173" s="19"/>
      <c r="E173" s="22"/>
      <c r="F173" s="19"/>
      <c r="G173" s="19"/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19">
        <v>0</v>
      </c>
      <c r="T173" s="15"/>
    </row>
    <row r="174" spans="1:20" ht="36.75" customHeight="1" x14ac:dyDescent="0.25">
      <c r="A174" s="13">
        <v>157</v>
      </c>
      <c r="B174" s="14" t="s">
        <v>24</v>
      </c>
      <c r="C174" s="19">
        <f t="shared" si="74"/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  <c r="N174" s="19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5"/>
    </row>
    <row r="175" spans="1:20" ht="161.25" customHeight="1" x14ac:dyDescent="0.25">
      <c r="A175" s="13">
        <v>158</v>
      </c>
      <c r="B175" s="32" t="s">
        <v>107</v>
      </c>
      <c r="C175" s="19">
        <f t="shared" si="74"/>
        <v>1000000</v>
      </c>
      <c r="D175" s="19">
        <f t="shared" ref="D175:S175" si="85">SUM(D176:D178)</f>
        <v>0</v>
      </c>
      <c r="E175" s="19">
        <f t="shared" si="85"/>
        <v>0</v>
      </c>
      <c r="F175" s="19">
        <f t="shared" si="85"/>
        <v>0</v>
      </c>
      <c r="G175" s="19">
        <f t="shared" si="85"/>
        <v>1000000</v>
      </c>
      <c r="H175" s="19">
        <f t="shared" si="85"/>
        <v>0</v>
      </c>
      <c r="I175" s="19">
        <f t="shared" si="85"/>
        <v>0</v>
      </c>
      <c r="J175" s="19">
        <f t="shared" si="85"/>
        <v>0</v>
      </c>
      <c r="K175" s="19">
        <f t="shared" si="85"/>
        <v>0</v>
      </c>
      <c r="L175" s="19">
        <f t="shared" si="85"/>
        <v>0</v>
      </c>
      <c r="M175" s="19">
        <f t="shared" si="85"/>
        <v>0</v>
      </c>
      <c r="N175" s="19">
        <f t="shared" si="85"/>
        <v>0</v>
      </c>
      <c r="O175" s="19">
        <f t="shared" si="85"/>
        <v>0</v>
      </c>
      <c r="P175" s="19">
        <f t="shared" si="85"/>
        <v>0</v>
      </c>
      <c r="Q175" s="19">
        <f t="shared" si="85"/>
        <v>0</v>
      </c>
      <c r="R175" s="19">
        <f t="shared" si="85"/>
        <v>0</v>
      </c>
      <c r="S175" s="19">
        <f t="shared" si="85"/>
        <v>0</v>
      </c>
      <c r="T175" s="15" t="s">
        <v>55</v>
      </c>
    </row>
    <row r="176" spans="1:20" x14ac:dyDescent="0.25">
      <c r="A176" s="13">
        <v>159</v>
      </c>
      <c r="B176" s="14" t="s">
        <v>22</v>
      </c>
      <c r="C176" s="19">
        <f t="shared" si="74"/>
        <v>500000</v>
      </c>
      <c r="D176" s="19">
        <v>0</v>
      </c>
      <c r="E176" s="19">
        <v>0</v>
      </c>
      <c r="F176" s="19">
        <v>0</v>
      </c>
      <c r="G176" s="19">
        <f>500000</f>
        <v>500000</v>
      </c>
      <c r="H176" s="19">
        <v>0</v>
      </c>
      <c r="I176" s="19">
        <v>0</v>
      </c>
      <c r="J176" s="19">
        <v>0</v>
      </c>
      <c r="K176" s="19">
        <v>0</v>
      </c>
      <c r="L176" s="19">
        <v>0</v>
      </c>
      <c r="M176" s="19">
        <v>0</v>
      </c>
      <c r="N176" s="19">
        <v>0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5"/>
    </row>
    <row r="177" spans="1:20" x14ac:dyDescent="0.25">
      <c r="A177" s="13">
        <v>160</v>
      </c>
      <c r="B177" s="14" t="s">
        <v>23</v>
      </c>
      <c r="C177" s="19">
        <f t="shared" si="74"/>
        <v>500000</v>
      </c>
      <c r="D177" s="19"/>
      <c r="E177" s="22"/>
      <c r="F177" s="19"/>
      <c r="G177" s="19">
        <f>100000+50000+350000</f>
        <v>500000</v>
      </c>
      <c r="H177" s="19">
        <v>0</v>
      </c>
      <c r="I177" s="19">
        <v>0</v>
      </c>
      <c r="J177" s="19">
        <v>0</v>
      </c>
      <c r="K177" s="19">
        <v>0</v>
      </c>
      <c r="L177" s="19">
        <v>0</v>
      </c>
      <c r="M177" s="19">
        <v>0</v>
      </c>
      <c r="N177" s="19">
        <v>0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5"/>
    </row>
    <row r="178" spans="1:20" ht="27.75" customHeight="1" x14ac:dyDescent="0.25">
      <c r="A178" s="13">
        <v>161</v>
      </c>
      <c r="B178" s="14" t="s">
        <v>24</v>
      </c>
      <c r="C178" s="19">
        <f t="shared" si="74"/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0</v>
      </c>
      <c r="I178" s="19">
        <v>0</v>
      </c>
      <c r="J178" s="19">
        <v>0</v>
      </c>
      <c r="K178" s="19">
        <v>0</v>
      </c>
      <c r="L178" s="19">
        <v>0</v>
      </c>
      <c r="M178" s="19">
        <v>0</v>
      </c>
      <c r="N178" s="19">
        <v>0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5"/>
    </row>
    <row r="179" spans="1:20" ht="91.5" customHeight="1" x14ac:dyDescent="0.25">
      <c r="A179" s="13">
        <v>162</v>
      </c>
      <c r="B179" s="32" t="s">
        <v>108</v>
      </c>
      <c r="C179" s="19">
        <f t="shared" si="74"/>
        <v>8045066.5599999996</v>
      </c>
      <c r="D179" s="19">
        <f t="shared" ref="D179:K179" si="86">D180</f>
        <v>0</v>
      </c>
      <c r="E179" s="19">
        <f t="shared" si="86"/>
        <v>0</v>
      </c>
      <c r="F179" s="19">
        <f t="shared" si="86"/>
        <v>0</v>
      </c>
      <c r="G179" s="19">
        <f t="shared" si="86"/>
        <v>0</v>
      </c>
      <c r="H179" s="19">
        <f t="shared" si="86"/>
        <v>0</v>
      </c>
      <c r="I179" s="19">
        <f t="shared" si="86"/>
        <v>0</v>
      </c>
      <c r="J179" s="19">
        <f t="shared" si="86"/>
        <v>0</v>
      </c>
      <c r="K179" s="19">
        <f t="shared" si="86"/>
        <v>0</v>
      </c>
      <c r="L179" s="19">
        <f t="shared" ref="L179:Q179" si="87">L180+L181</f>
        <v>8045066.5599999996</v>
      </c>
      <c r="M179" s="19">
        <f t="shared" si="87"/>
        <v>0</v>
      </c>
      <c r="N179" s="19">
        <f t="shared" si="87"/>
        <v>0</v>
      </c>
      <c r="O179" s="19">
        <f t="shared" si="87"/>
        <v>0</v>
      </c>
      <c r="P179" s="19">
        <f t="shared" si="87"/>
        <v>0</v>
      </c>
      <c r="Q179" s="19">
        <f t="shared" si="87"/>
        <v>0</v>
      </c>
      <c r="R179" s="19">
        <f>R180:S180+R181:S181</f>
        <v>0</v>
      </c>
      <c r="S179" s="19">
        <f>S180:T180+S181:T181</f>
        <v>0</v>
      </c>
      <c r="T179" s="15" t="s">
        <v>56</v>
      </c>
    </row>
    <row r="180" spans="1:20" x14ac:dyDescent="0.25">
      <c r="A180" s="13">
        <v>163</v>
      </c>
      <c r="B180" s="14" t="s">
        <v>23</v>
      </c>
      <c r="C180" s="19">
        <f t="shared" si="74"/>
        <v>7415925.5599999996</v>
      </c>
      <c r="D180" s="19">
        <v>0</v>
      </c>
      <c r="E180" s="19">
        <v>0</v>
      </c>
      <c r="F180" s="19">
        <v>0</v>
      </c>
      <c r="G180" s="19">
        <v>0</v>
      </c>
      <c r="H180" s="19">
        <v>0</v>
      </c>
      <c r="I180" s="19">
        <v>0</v>
      </c>
      <c r="J180" s="19">
        <v>0</v>
      </c>
      <c r="K180" s="19">
        <v>0</v>
      </c>
      <c r="L180" s="19">
        <f>6281268.01+1134657.55</f>
        <v>7415925.5599999996</v>
      </c>
      <c r="M180" s="19">
        <v>0</v>
      </c>
      <c r="N180" s="19">
        <v>0</v>
      </c>
      <c r="O180" s="19">
        <v>0</v>
      </c>
      <c r="P180" s="19">
        <v>0</v>
      </c>
      <c r="Q180" s="19">
        <v>0</v>
      </c>
      <c r="R180" s="19">
        <v>0</v>
      </c>
      <c r="S180" s="19">
        <v>0</v>
      </c>
      <c r="T180" s="15"/>
    </row>
    <row r="181" spans="1:20" ht="29.25" x14ac:dyDescent="0.25">
      <c r="A181" s="13">
        <v>164</v>
      </c>
      <c r="B181" s="14" t="s">
        <v>24</v>
      </c>
      <c r="C181" s="19">
        <f t="shared" si="74"/>
        <v>629141</v>
      </c>
      <c r="D181" s="19"/>
      <c r="E181" s="19"/>
      <c r="F181" s="19"/>
      <c r="G181" s="19"/>
      <c r="H181" s="19"/>
      <c r="I181" s="19"/>
      <c r="J181" s="19"/>
      <c r="K181" s="19"/>
      <c r="L181" s="19">
        <v>629141</v>
      </c>
      <c r="M181" s="19">
        <v>0</v>
      </c>
      <c r="N181" s="19">
        <v>0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5"/>
    </row>
    <row r="182" spans="1:20" ht="135" customHeight="1" x14ac:dyDescent="0.25">
      <c r="A182" s="13">
        <v>165</v>
      </c>
      <c r="B182" s="32" t="s">
        <v>109</v>
      </c>
      <c r="C182" s="19">
        <f t="shared" si="74"/>
        <v>1106907.6600000001</v>
      </c>
      <c r="D182" s="19">
        <f t="shared" ref="D182:S182" si="88">D183</f>
        <v>0</v>
      </c>
      <c r="E182" s="19">
        <f t="shared" si="88"/>
        <v>0</v>
      </c>
      <c r="F182" s="19">
        <f t="shared" si="88"/>
        <v>0</v>
      </c>
      <c r="G182" s="19">
        <f t="shared" si="88"/>
        <v>0</v>
      </c>
      <c r="H182" s="19">
        <f t="shared" si="88"/>
        <v>0</v>
      </c>
      <c r="I182" s="19">
        <f t="shared" si="88"/>
        <v>0</v>
      </c>
      <c r="J182" s="19">
        <f t="shared" si="88"/>
        <v>0</v>
      </c>
      <c r="K182" s="19">
        <f t="shared" si="88"/>
        <v>0</v>
      </c>
      <c r="L182" s="19">
        <f t="shared" si="88"/>
        <v>1106907.6600000001</v>
      </c>
      <c r="M182" s="19">
        <f t="shared" si="88"/>
        <v>0</v>
      </c>
      <c r="N182" s="19">
        <f t="shared" si="88"/>
        <v>0</v>
      </c>
      <c r="O182" s="19">
        <f t="shared" si="88"/>
        <v>0</v>
      </c>
      <c r="P182" s="19">
        <f t="shared" si="88"/>
        <v>0</v>
      </c>
      <c r="Q182" s="19">
        <f t="shared" si="88"/>
        <v>0</v>
      </c>
      <c r="R182" s="19">
        <f t="shared" si="88"/>
        <v>0</v>
      </c>
      <c r="S182" s="19">
        <f t="shared" si="88"/>
        <v>0</v>
      </c>
      <c r="T182" s="15" t="s">
        <v>57</v>
      </c>
    </row>
    <row r="183" spans="1:20" ht="20.25" customHeight="1" x14ac:dyDescent="0.25">
      <c r="A183" s="13">
        <v>166</v>
      </c>
      <c r="B183" s="14" t="s">
        <v>23</v>
      </c>
      <c r="C183" s="19">
        <f t="shared" si="74"/>
        <v>1106907.6600000001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f>1518720-14871.43-184013.79-212927.12</f>
        <v>1106907.6600000001</v>
      </c>
      <c r="M183" s="19">
        <v>0</v>
      </c>
      <c r="N183" s="19">
        <v>0</v>
      </c>
      <c r="O183" s="19">
        <v>0</v>
      </c>
      <c r="P183" s="19">
        <v>0</v>
      </c>
      <c r="Q183" s="19">
        <v>0</v>
      </c>
      <c r="R183" s="25">
        <v>0</v>
      </c>
      <c r="S183" s="25">
        <v>0</v>
      </c>
      <c r="T183" s="16"/>
    </row>
    <row r="184" spans="1:20" ht="290.25" customHeight="1" x14ac:dyDescent="0.25">
      <c r="A184" s="13">
        <v>167</v>
      </c>
      <c r="B184" s="32" t="s">
        <v>110</v>
      </c>
      <c r="C184" s="19"/>
      <c r="D184" s="19"/>
      <c r="E184" s="19"/>
      <c r="F184" s="19"/>
      <c r="G184" s="19"/>
      <c r="H184" s="19"/>
      <c r="I184" s="19"/>
      <c r="J184" s="19"/>
      <c r="K184" s="19"/>
      <c r="L184" s="19">
        <f t="shared" ref="L184:S184" si="89">L185</f>
        <v>57562.59</v>
      </c>
      <c r="M184" s="19">
        <f t="shared" si="89"/>
        <v>0</v>
      </c>
      <c r="N184" s="19">
        <f t="shared" si="89"/>
        <v>0</v>
      </c>
      <c r="O184" s="19">
        <f t="shared" si="89"/>
        <v>0</v>
      </c>
      <c r="P184" s="19">
        <f t="shared" si="89"/>
        <v>0</v>
      </c>
      <c r="Q184" s="19">
        <f t="shared" si="89"/>
        <v>0</v>
      </c>
      <c r="R184" s="19">
        <f t="shared" si="89"/>
        <v>0</v>
      </c>
      <c r="S184" s="19">
        <f t="shared" si="89"/>
        <v>0</v>
      </c>
      <c r="T184" s="15" t="s">
        <v>56</v>
      </c>
    </row>
    <row r="185" spans="1:20" ht="15.75" customHeight="1" x14ac:dyDescent="0.25">
      <c r="A185" s="13">
        <v>168</v>
      </c>
      <c r="B185" s="14" t="s">
        <v>22</v>
      </c>
      <c r="C185" s="19"/>
      <c r="D185" s="19"/>
      <c r="E185" s="19"/>
      <c r="F185" s="19"/>
      <c r="G185" s="19"/>
      <c r="H185" s="19"/>
      <c r="I185" s="19"/>
      <c r="J185" s="19"/>
      <c r="K185" s="19"/>
      <c r="L185" s="19">
        <v>57562.59</v>
      </c>
      <c r="M185" s="19">
        <v>0</v>
      </c>
      <c r="N185" s="19">
        <v>0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5"/>
    </row>
    <row r="186" spans="1:20" ht="18.75" customHeight="1" x14ac:dyDescent="0.25">
      <c r="A186" s="13">
        <v>169</v>
      </c>
      <c r="B186" s="41" t="s">
        <v>136</v>
      </c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</row>
    <row r="187" spans="1:20" ht="47.25" customHeight="1" x14ac:dyDescent="0.25">
      <c r="A187" s="13">
        <v>170</v>
      </c>
      <c r="B187" s="14" t="s">
        <v>58</v>
      </c>
      <c r="C187" s="19">
        <f>SUM(D187:S187)</f>
        <v>180787663.99999997</v>
      </c>
      <c r="D187" s="19">
        <f t="shared" ref="D187:S187" si="90">D188+D189+D190</f>
        <v>1001213</v>
      </c>
      <c r="E187" s="19">
        <f t="shared" si="90"/>
        <v>25836692.629999999</v>
      </c>
      <c r="F187" s="19">
        <f t="shared" si="90"/>
        <v>136660806.16999999</v>
      </c>
      <c r="G187" s="19">
        <f t="shared" si="90"/>
        <v>534102.42000000004</v>
      </c>
      <c r="H187" s="19">
        <f t="shared" si="90"/>
        <v>0</v>
      </c>
      <c r="I187" s="19">
        <f t="shared" si="90"/>
        <v>1804739.8</v>
      </c>
      <c r="J187" s="19">
        <f t="shared" si="90"/>
        <v>11144109.98</v>
      </c>
      <c r="K187" s="19">
        <f t="shared" si="90"/>
        <v>0</v>
      </c>
      <c r="L187" s="19">
        <f t="shared" si="90"/>
        <v>0</v>
      </c>
      <c r="M187" s="19">
        <f t="shared" si="90"/>
        <v>3350000</v>
      </c>
      <c r="N187" s="19">
        <f t="shared" si="90"/>
        <v>456000</v>
      </c>
      <c r="O187" s="19">
        <f t="shared" si="90"/>
        <v>0</v>
      </c>
      <c r="P187" s="19">
        <f t="shared" si="90"/>
        <v>0</v>
      </c>
      <c r="Q187" s="19">
        <f t="shared" si="90"/>
        <v>0</v>
      </c>
      <c r="R187" s="19">
        <f t="shared" si="90"/>
        <v>0</v>
      </c>
      <c r="S187" s="19">
        <f t="shared" si="90"/>
        <v>0</v>
      </c>
      <c r="T187" s="17" t="s">
        <v>59</v>
      </c>
    </row>
    <row r="188" spans="1:20" x14ac:dyDescent="0.25">
      <c r="A188" s="13">
        <v>171</v>
      </c>
      <c r="B188" s="14" t="s">
        <v>22</v>
      </c>
      <c r="C188" s="19">
        <f>SUM(D188:S188)</f>
        <v>141524900</v>
      </c>
      <c r="D188" s="19">
        <f t="shared" ref="D188:S188" si="91">D193+D203</f>
        <v>0</v>
      </c>
      <c r="E188" s="19">
        <f t="shared" si="91"/>
        <v>20000000</v>
      </c>
      <c r="F188" s="19">
        <f t="shared" si="91"/>
        <v>121524900</v>
      </c>
      <c r="G188" s="19">
        <f t="shared" si="91"/>
        <v>0</v>
      </c>
      <c r="H188" s="19">
        <f t="shared" si="91"/>
        <v>0</v>
      </c>
      <c r="I188" s="19">
        <f t="shared" si="91"/>
        <v>0</v>
      </c>
      <c r="J188" s="19">
        <f t="shared" si="91"/>
        <v>0</v>
      </c>
      <c r="K188" s="19">
        <f t="shared" si="91"/>
        <v>0</v>
      </c>
      <c r="L188" s="19">
        <f t="shared" si="91"/>
        <v>0</v>
      </c>
      <c r="M188" s="19">
        <f t="shared" si="91"/>
        <v>0</v>
      </c>
      <c r="N188" s="19">
        <f t="shared" si="91"/>
        <v>0</v>
      </c>
      <c r="O188" s="19">
        <f t="shared" si="91"/>
        <v>0</v>
      </c>
      <c r="P188" s="19">
        <f t="shared" si="91"/>
        <v>0</v>
      </c>
      <c r="Q188" s="19">
        <f t="shared" si="91"/>
        <v>0</v>
      </c>
      <c r="R188" s="19">
        <f t="shared" si="91"/>
        <v>0</v>
      </c>
      <c r="S188" s="19">
        <f t="shared" si="91"/>
        <v>0</v>
      </c>
      <c r="T188" s="19"/>
    </row>
    <row r="189" spans="1:20" x14ac:dyDescent="0.25">
      <c r="A189" s="13">
        <v>172</v>
      </c>
      <c r="B189" s="14" t="s">
        <v>23</v>
      </c>
      <c r="C189" s="19">
        <f>SUM(D189:S189)</f>
        <v>35716399.599999979</v>
      </c>
      <c r="D189" s="19">
        <f t="shared" ref="D189:S189" si="92">D194+D204</f>
        <v>1001213</v>
      </c>
      <c r="E189" s="19">
        <f t="shared" si="92"/>
        <v>5836692.6299999999</v>
      </c>
      <c r="F189" s="19">
        <f t="shared" si="92"/>
        <v>15135906.169999981</v>
      </c>
      <c r="G189" s="19">
        <f t="shared" si="92"/>
        <v>534102.42000000004</v>
      </c>
      <c r="H189" s="19">
        <f t="shared" si="92"/>
        <v>0</v>
      </c>
      <c r="I189" s="19">
        <f t="shared" si="92"/>
        <v>1608375.4000000001</v>
      </c>
      <c r="J189" s="19">
        <f t="shared" si="92"/>
        <v>11144109.98</v>
      </c>
      <c r="K189" s="19">
        <f t="shared" si="92"/>
        <v>0</v>
      </c>
      <c r="L189" s="19">
        <f t="shared" si="92"/>
        <v>0</v>
      </c>
      <c r="M189" s="19">
        <f t="shared" si="92"/>
        <v>0</v>
      </c>
      <c r="N189" s="19">
        <f t="shared" si="92"/>
        <v>456000</v>
      </c>
      <c r="O189" s="19">
        <f t="shared" si="92"/>
        <v>0</v>
      </c>
      <c r="P189" s="19">
        <f t="shared" si="92"/>
        <v>0</v>
      </c>
      <c r="Q189" s="19">
        <f t="shared" si="92"/>
        <v>0</v>
      </c>
      <c r="R189" s="19">
        <f t="shared" si="92"/>
        <v>0</v>
      </c>
      <c r="S189" s="19">
        <f t="shared" si="92"/>
        <v>0</v>
      </c>
      <c r="T189" s="19"/>
    </row>
    <row r="190" spans="1:20" ht="29.25" x14ac:dyDescent="0.25">
      <c r="A190" s="13">
        <v>173</v>
      </c>
      <c r="B190" s="14" t="s">
        <v>24</v>
      </c>
      <c r="C190" s="19">
        <f>SUM(D190:S190)</f>
        <v>3546364.4</v>
      </c>
      <c r="D190" s="19">
        <f t="shared" ref="D190:J190" si="93">D195</f>
        <v>0</v>
      </c>
      <c r="E190" s="19">
        <f t="shared" si="93"/>
        <v>0</v>
      </c>
      <c r="F190" s="19">
        <f t="shared" si="93"/>
        <v>0</v>
      </c>
      <c r="G190" s="19">
        <f t="shared" si="93"/>
        <v>0</v>
      </c>
      <c r="H190" s="19">
        <f t="shared" si="93"/>
        <v>0</v>
      </c>
      <c r="I190" s="19">
        <f t="shared" si="93"/>
        <v>196364.4</v>
      </c>
      <c r="J190" s="19">
        <f t="shared" si="93"/>
        <v>0</v>
      </c>
      <c r="K190" s="19">
        <f>K195+K205</f>
        <v>0</v>
      </c>
      <c r="L190" s="19">
        <f>L195+L205</f>
        <v>0</v>
      </c>
      <c r="M190" s="19">
        <f>M195</f>
        <v>3350000</v>
      </c>
      <c r="N190" s="19">
        <f t="shared" ref="N190:S190" si="94">N195+N205</f>
        <v>0</v>
      </c>
      <c r="O190" s="19">
        <f t="shared" si="94"/>
        <v>0</v>
      </c>
      <c r="P190" s="19">
        <f t="shared" si="94"/>
        <v>0</v>
      </c>
      <c r="Q190" s="19">
        <f t="shared" si="94"/>
        <v>0</v>
      </c>
      <c r="R190" s="19">
        <f t="shared" si="94"/>
        <v>0</v>
      </c>
      <c r="S190" s="19">
        <f t="shared" si="94"/>
        <v>0</v>
      </c>
      <c r="T190" s="19"/>
    </row>
    <row r="191" spans="1:20" ht="15.75" customHeight="1" x14ac:dyDescent="0.25">
      <c r="A191" s="13">
        <v>174</v>
      </c>
      <c r="B191" s="41" t="s">
        <v>29</v>
      </c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</row>
    <row r="192" spans="1:20" ht="57.75" customHeight="1" x14ac:dyDescent="0.25">
      <c r="A192" s="13">
        <v>175</v>
      </c>
      <c r="B192" s="14" t="s">
        <v>30</v>
      </c>
      <c r="C192" s="19">
        <f>SUM(D192:S192)</f>
        <v>174583744.80999997</v>
      </c>
      <c r="D192" s="19">
        <f>D193+D194+D195</f>
        <v>0</v>
      </c>
      <c r="E192" s="19">
        <f>E193+E194+E195</f>
        <v>22321300</v>
      </c>
      <c r="F192" s="19">
        <f>F193+F194+F195</f>
        <v>136473310.68999997</v>
      </c>
      <c r="G192" s="19">
        <f>G193+G194+G195</f>
        <v>100722.42</v>
      </c>
      <c r="H192" s="19">
        <f>SUM(H193:H195)</f>
        <v>0</v>
      </c>
      <c r="I192" s="19">
        <f t="shared" ref="I192:K193" si="95">I197</f>
        <v>1804739.8</v>
      </c>
      <c r="J192" s="19">
        <f t="shared" si="95"/>
        <v>10533671.9</v>
      </c>
      <c r="K192" s="19">
        <f t="shared" si="95"/>
        <v>0</v>
      </c>
      <c r="L192" s="19">
        <f t="shared" ref="L192:S192" si="96">SUM(L193:L195)</f>
        <v>0</v>
      </c>
      <c r="M192" s="19">
        <f t="shared" si="96"/>
        <v>3350000</v>
      </c>
      <c r="N192" s="19">
        <f t="shared" si="96"/>
        <v>0</v>
      </c>
      <c r="O192" s="19">
        <f t="shared" si="96"/>
        <v>0</v>
      </c>
      <c r="P192" s="19">
        <f t="shared" si="96"/>
        <v>0</v>
      </c>
      <c r="Q192" s="19">
        <f t="shared" si="96"/>
        <v>0</v>
      </c>
      <c r="R192" s="19">
        <f t="shared" si="96"/>
        <v>0</v>
      </c>
      <c r="S192" s="19">
        <f t="shared" si="96"/>
        <v>0</v>
      </c>
      <c r="T192" s="19"/>
    </row>
    <row r="193" spans="1:20" x14ac:dyDescent="0.25">
      <c r="A193" s="13">
        <v>176</v>
      </c>
      <c r="B193" s="14" t="s">
        <v>22</v>
      </c>
      <c r="C193" s="19">
        <f t="shared" ref="C193:H193" si="97">C198</f>
        <v>141524900</v>
      </c>
      <c r="D193" s="19">
        <f t="shared" si="97"/>
        <v>0</v>
      </c>
      <c r="E193" s="19">
        <f t="shared" si="97"/>
        <v>20000000</v>
      </c>
      <c r="F193" s="19">
        <f t="shared" si="97"/>
        <v>121524900</v>
      </c>
      <c r="G193" s="19">
        <f t="shared" si="97"/>
        <v>0</v>
      </c>
      <c r="H193" s="19">
        <f t="shared" si="97"/>
        <v>0</v>
      </c>
      <c r="I193" s="19">
        <f t="shared" si="95"/>
        <v>0</v>
      </c>
      <c r="J193" s="19">
        <f t="shared" si="95"/>
        <v>0</v>
      </c>
      <c r="K193" s="19">
        <f t="shared" si="95"/>
        <v>0</v>
      </c>
      <c r="L193" s="19">
        <f t="shared" ref="L193:S195" si="98">L198</f>
        <v>0</v>
      </c>
      <c r="M193" s="19">
        <f t="shared" si="98"/>
        <v>0</v>
      </c>
      <c r="N193" s="19">
        <f t="shared" si="98"/>
        <v>0</v>
      </c>
      <c r="O193" s="19">
        <f t="shared" si="98"/>
        <v>0</v>
      </c>
      <c r="P193" s="19">
        <f t="shared" si="98"/>
        <v>0</v>
      </c>
      <c r="Q193" s="19">
        <f t="shared" si="98"/>
        <v>0</v>
      </c>
      <c r="R193" s="19">
        <f t="shared" si="98"/>
        <v>0</v>
      </c>
      <c r="S193" s="19">
        <f t="shared" si="98"/>
        <v>0</v>
      </c>
      <c r="T193" s="19"/>
    </row>
    <row r="194" spans="1:20" x14ac:dyDescent="0.25">
      <c r="A194" s="13">
        <v>177</v>
      </c>
      <c r="B194" s="14" t="s">
        <v>23</v>
      </c>
      <c r="C194" s="19">
        <f>SUM(D194:S194)</f>
        <v>29512480.409999982</v>
      </c>
      <c r="D194" s="19">
        <f t="shared" ref="D194:F195" si="99">D199</f>
        <v>0</v>
      </c>
      <c r="E194" s="19">
        <f t="shared" si="99"/>
        <v>2321300</v>
      </c>
      <c r="F194" s="19">
        <f t="shared" si="99"/>
        <v>14948410.689999981</v>
      </c>
      <c r="G194" s="19">
        <v>100722.42</v>
      </c>
      <c r="H194" s="19">
        <f>H199</f>
        <v>0</v>
      </c>
      <c r="I194" s="19">
        <f>1116000+4383979-4234692+348772.8-5684.4</f>
        <v>1608375.4000000001</v>
      </c>
      <c r="J194" s="19">
        <f>1394380.7+184535.43+9225310-184535.43+58486.8-77626.2-66879.4</f>
        <v>10533671.9</v>
      </c>
      <c r="K194" s="19">
        <f>K199</f>
        <v>0</v>
      </c>
      <c r="L194" s="19">
        <f t="shared" si="98"/>
        <v>0</v>
      </c>
      <c r="M194" s="19">
        <f t="shared" si="98"/>
        <v>0</v>
      </c>
      <c r="N194" s="19">
        <f t="shared" si="98"/>
        <v>0</v>
      </c>
      <c r="O194" s="19">
        <f t="shared" si="98"/>
        <v>0</v>
      </c>
      <c r="P194" s="19">
        <f t="shared" si="98"/>
        <v>0</v>
      </c>
      <c r="Q194" s="19">
        <f t="shared" si="98"/>
        <v>0</v>
      </c>
      <c r="R194" s="19">
        <f t="shared" si="98"/>
        <v>0</v>
      </c>
      <c r="S194" s="19">
        <f t="shared" si="98"/>
        <v>0</v>
      </c>
      <c r="T194" s="19"/>
    </row>
    <row r="195" spans="1:20" ht="29.25" x14ac:dyDescent="0.25">
      <c r="A195" s="13">
        <v>178</v>
      </c>
      <c r="B195" s="14" t="str">
        <f>B200</f>
        <v>внебюджетные источники</v>
      </c>
      <c r="C195" s="19">
        <f>SUM(D195:S195)</f>
        <v>3546364.4</v>
      </c>
      <c r="D195" s="19">
        <f t="shared" si="99"/>
        <v>0</v>
      </c>
      <c r="E195" s="19">
        <f t="shared" si="99"/>
        <v>0</v>
      </c>
      <c r="F195" s="19">
        <f t="shared" si="99"/>
        <v>0</v>
      </c>
      <c r="G195" s="19">
        <f>G200</f>
        <v>0</v>
      </c>
      <c r="H195" s="19">
        <f>H200</f>
        <v>0</v>
      </c>
      <c r="I195" s="19">
        <v>196364.4</v>
      </c>
      <c r="J195" s="19">
        <f>J200</f>
        <v>0</v>
      </c>
      <c r="K195" s="19">
        <f>K200</f>
        <v>0</v>
      </c>
      <c r="L195" s="19">
        <f t="shared" si="98"/>
        <v>0</v>
      </c>
      <c r="M195" s="19">
        <f t="shared" si="98"/>
        <v>3350000</v>
      </c>
      <c r="N195" s="19">
        <f t="shared" si="98"/>
        <v>0</v>
      </c>
      <c r="O195" s="19">
        <f t="shared" si="98"/>
        <v>0</v>
      </c>
      <c r="P195" s="19">
        <f t="shared" si="98"/>
        <v>0</v>
      </c>
      <c r="Q195" s="19">
        <f t="shared" si="98"/>
        <v>0</v>
      </c>
      <c r="R195" s="19">
        <f t="shared" si="98"/>
        <v>0</v>
      </c>
      <c r="S195" s="19">
        <f t="shared" si="98"/>
        <v>0</v>
      </c>
      <c r="T195" s="19">
        <f>T200</f>
        <v>0</v>
      </c>
    </row>
    <row r="196" spans="1:20" ht="15.75" customHeight="1" x14ac:dyDescent="0.25">
      <c r="A196" s="13">
        <v>179</v>
      </c>
      <c r="B196" s="41" t="s">
        <v>31</v>
      </c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</row>
    <row r="197" spans="1:20" ht="93" customHeight="1" x14ac:dyDescent="0.25">
      <c r="A197" s="13">
        <v>180</v>
      </c>
      <c r="B197" s="14" t="s">
        <v>32</v>
      </c>
      <c r="C197" s="19">
        <f>SUM(D197:S197)</f>
        <v>174583744.80999997</v>
      </c>
      <c r="D197" s="19">
        <f t="shared" ref="D197:S197" si="100">D198+D199+D200</f>
        <v>0</v>
      </c>
      <c r="E197" s="19">
        <f t="shared" si="100"/>
        <v>22321300</v>
      </c>
      <c r="F197" s="19">
        <f t="shared" si="100"/>
        <v>136473310.68999997</v>
      </c>
      <c r="G197" s="19">
        <f t="shared" si="100"/>
        <v>100722.42</v>
      </c>
      <c r="H197" s="19">
        <f t="shared" si="100"/>
        <v>0</v>
      </c>
      <c r="I197" s="19">
        <f t="shared" si="100"/>
        <v>1804739.8</v>
      </c>
      <c r="J197" s="19">
        <f t="shared" si="100"/>
        <v>10533671.9</v>
      </c>
      <c r="K197" s="19">
        <f t="shared" si="100"/>
        <v>0</v>
      </c>
      <c r="L197" s="19">
        <f t="shared" si="100"/>
        <v>0</v>
      </c>
      <c r="M197" s="19">
        <f t="shared" si="100"/>
        <v>3350000</v>
      </c>
      <c r="N197" s="19">
        <f t="shared" si="100"/>
        <v>0</v>
      </c>
      <c r="O197" s="19">
        <f t="shared" si="100"/>
        <v>0</v>
      </c>
      <c r="P197" s="19">
        <f t="shared" si="100"/>
        <v>0</v>
      </c>
      <c r="Q197" s="19">
        <f t="shared" si="100"/>
        <v>0</v>
      </c>
      <c r="R197" s="19">
        <f t="shared" si="100"/>
        <v>0</v>
      </c>
      <c r="S197" s="19">
        <f t="shared" si="100"/>
        <v>0</v>
      </c>
      <c r="T197" s="17" t="str">
        <f>T202</f>
        <v>3.3.1.1; 3.3.1.2; 3.3.1.3; 3.3.1.4; 3.3.1.5</v>
      </c>
    </row>
    <row r="198" spans="1:20" x14ac:dyDescent="0.25">
      <c r="A198" s="13">
        <v>181</v>
      </c>
      <c r="B198" s="14" t="s">
        <v>22</v>
      </c>
      <c r="C198" s="19">
        <f>SUM(D198:S198)</f>
        <v>141524900</v>
      </c>
      <c r="D198" s="19">
        <v>0</v>
      </c>
      <c r="E198" s="19">
        <v>20000000</v>
      </c>
      <c r="F198" s="19">
        <f>80000000+41524900</f>
        <v>121524900</v>
      </c>
      <c r="G198" s="19"/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7"/>
    </row>
    <row r="199" spans="1:20" x14ac:dyDescent="0.25">
      <c r="A199" s="13">
        <v>182</v>
      </c>
      <c r="B199" s="14" t="s">
        <v>23</v>
      </c>
      <c r="C199" s="19">
        <f>SUM(D199:S199)</f>
        <v>29512480.409999982</v>
      </c>
      <c r="D199" s="19">
        <v>0</v>
      </c>
      <c r="E199" s="22">
        <f>2222300+99000</f>
        <v>2321300</v>
      </c>
      <c r="F199" s="19">
        <f>15095442.61+7357.39+120780676.33-80000000-200000-40515881.81-219183.83</f>
        <v>14948410.689999981</v>
      </c>
      <c r="G199" s="19">
        <v>100722.42</v>
      </c>
      <c r="H199" s="19">
        <f>1447631-1447631</f>
        <v>0</v>
      </c>
      <c r="I199" s="19">
        <f>1116000+4383979-4234692+348772.8-5684.4</f>
        <v>1608375.4000000001</v>
      </c>
      <c r="J199" s="19">
        <f>1394380.7+184535.43+9225310-184535.43+58486.8-77626.2-66879.4</f>
        <v>10533671.9</v>
      </c>
      <c r="K199" s="19">
        <f>102363.6-102363.6</f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7"/>
    </row>
    <row r="200" spans="1:20" ht="34.5" customHeight="1" x14ac:dyDescent="0.25">
      <c r="A200" s="13">
        <v>183</v>
      </c>
      <c r="B200" s="14" t="s">
        <v>24</v>
      </c>
      <c r="C200" s="19">
        <f>SUM(D200:S200)</f>
        <v>3546364.4</v>
      </c>
      <c r="D200" s="19">
        <v>0</v>
      </c>
      <c r="E200" s="19">
        <f>D200*1.05</f>
        <v>0</v>
      </c>
      <c r="F200" s="19">
        <f>E200*1.05</f>
        <v>0</v>
      </c>
      <c r="G200" s="19">
        <f>F200*1.05</f>
        <v>0</v>
      </c>
      <c r="H200" s="19">
        <f>G200*1.05</f>
        <v>0</v>
      </c>
      <c r="I200" s="19">
        <v>196364.4</v>
      </c>
      <c r="J200" s="19">
        <v>0</v>
      </c>
      <c r="K200" s="19">
        <v>0</v>
      </c>
      <c r="L200" s="19">
        <v>0</v>
      </c>
      <c r="M200" s="19">
        <v>3350000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/>
    </row>
    <row r="201" spans="1:20" ht="15.75" customHeight="1" x14ac:dyDescent="0.25">
      <c r="A201" s="13">
        <v>184</v>
      </c>
      <c r="B201" s="41" t="s">
        <v>35</v>
      </c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</row>
    <row r="202" spans="1:20" ht="70.5" customHeight="1" x14ac:dyDescent="0.25">
      <c r="A202" s="13">
        <v>185</v>
      </c>
      <c r="B202" s="14" t="s">
        <v>36</v>
      </c>
      <c r="C202" s="19">
        <f t="shared" ref="C202:C234" si="101">SUM(D202:S202)</f>
        <v>6203919.1900000004</v>
      </c>
      <c r="D202" s="19">
        <f t="shared" ref="D202:S202" si="102">D203+D204+D205</f>
        <v>1001213</v>
      </c>
      <c r="E202" s="19">
        <f t="shared" si="102"/>
        <v>3515392.63</v>
      </c>
      <c r="F202" s="19">
        <f t="shared" si="102"/>
        <v>187495.48</v>
      </c>
      <c r="G202" s="19">
        <f t="shared" si="102"/>
        <v>433380</v>
      </c>
      <c r="H202" s="19">
        <f t="shared" si="102"/>
        <v>0</v>
      </c>
      <c r="I202" s="19">
        <f t="shared" si="102"/>
        <v>0</v>
      </c>
      <c r="J202" s="19">
        <f t="shared" si="102"/>
        <v>610438.08000000007</v>
      </c>
      <c r="K202" s="19">
        <f t="shared" si="102"/>
        <v>0</v>
      </c>
      <c r="L202" s="19">
        <f t="shared" si="102"/>
        <v>0</v>
      </c>
      <c r="M202" s="19">
        <f t="shared" si="102"/>
        <v>0</v>
      </c>
      <c r="N202" s="19">
        <f t="shared" si="102"/>
        <v>456000</v>
      </c>
      <c r="O202" s="19">
        <f t="shared" si="102"/>
        <v>0</v>
      </c>
      <c r="P202" s="19">
        <f t="shared" si="102"/>
        <v>0</v>
      </c>
      <c r="Q202" s="19">
        <f t="shared" si="102"/>
        <v>0</v>
      </c>
      <c r="R202" s="19">
        <f t="shared" si="102"/>
        <v>0</v>
      </c>
      <c r="S202" s="19">
        <f t="shared" si="102"/>
        <v>0</v>
      </c>
      <c r="T202" s="17" t="s">
        <v>59</v>
      </c>
    </row>
    <row r="203" spans="1:20" x14ac:dyDescent="0.25">
      <c r="A203" s="13">
        <v>186</v>
      </c>
      <c r="B203" s="14" t="s">
        <v>22</v>
      </c>
      <c r="C203" s="19">
        <f t="shared" si="101"/>
        <v>0</v>
      </c>
      <c r="D203" s="19">
        <f>D215</f>
        <v>0</v>
      </c>
      <c r="E203" s="19">
        <f>E215</f>
        <v>0</v>
      </c>
      <c r="F203" s="19">
        <f>F215</f>
        <v>0</v>
      </c>
      <c r="G203" s="19">
        <f>G215+G207+G211+G219+G223</f>
        <v>0</v>
      </c>
      <c r="H203" s="19">
        <f>H215+H207+H211+H219+H223</f>
        <v>0</v>
      </c>
      <c r="I203" s="19">
        <f>I211+I215+I219+I223+I227</f>
        <v>0</v>
      </c>
      <c r="J203" s="19">
        <f t="shared" ref="J203:S203" si="103">J215+J207+J211+J219+J223+J227</f>
        <v>0</v>
      </c>
      <c r="K203" s="19">
        <f t="shared" si="103"/>
        <v>0</v>
      </c>
      <c r="L203" s="19">
        <f t="shared" si="103"/>
        <v>0</v>
      </c>
      <c r="M203" s="19">
        <f t="shared" si="103"/>
        <v>0</v>
      </c>
      <c r="N203" s="19">
        <f t="shared" si="103"/>
        <v>0</v>
      </c>
      <c r="O203" s="19">
        <f t="shared" si="103"/>
        <v>0</v>
      </c>
      <c r="P203" s="19">
        <f t="shared" si="103"/>
        <v>0</v>
      </c>
      <c r="Q203" s="19">
        <f t="shared" si="103"/>
        <v>0</v>
      </c>
      <c r="R203" s="19">
        <f t="shared" si="103"/>
        <v>0</v>
      </c>
      <c r="S203" s="19">
        <f t="shared" si="103"/>
        <v>0</v>
      </c>
      <c r="T203" s="19"/>
    </row>
    <row r="204" spans="1:20" x14ac:dyDescent="0.25">
      <c r="A204" s="13">
        <v>187</v>
      </c>
      <c r="B204" s="14" t="s">
        <v>23</v>
      </c>
      <c r="C204" s="19">
        <f t="shared" si="101"/>
        <v>6203919.1900000004</v>
      </c>
      <c r="D204" s="19">
        <f>D208+D212+D216</f>
        <v>1001213</v>
      </c>
      <c r="E204" s="19">
        <f>E208+E212+E216</f>
        <v>3515392.63</v>
      </c>
      <c r="F204" s="19">
        <f>F208+F216+F220</f>
        <v>187495.48</v>
      </c>
      <c r="G204" s="19">
        <f>G216+G208+G212+G220+G224</f>
        <v>433380</v>
      </c>
      <c r="H204" s="19">
        <f>H216+H208+H212+H220+H224</f>
        <v>0</v>
      </c>
      <c r="I204" s="19">
        <f>I212+I216+I220+I224+I228</f>
        <v>0</v>
      </c>
      <c r="J204" s="19">
        <f>J216+J208+J212+J220+J224+J228+J231</f>
        <v>610438.08000000007</v>
      </c>
      <c r="K204" s="19">
        <f>K216+K208+K212+K220+K224+K228+K231</f>
        <v>0</v>
      </c>
      <c r="L204" s="19">
        <f>L216+L208+L212+L220+L224+L228+L231</f>
        <v>0</v>
      </c>
      <c r="M204" s="19">
        <f>M216+M208+M212+M220+M224+M228+M231+M233</f>
        <v>0</v>
      </c>
      <c r="N204" s="19">
        <f>N216+N208+N212+N220+N224+N228+N231+N233</f>
        <v>456000</v>
      </c>
      <c r="O204" s="19">
        <f t="shared" ref="O204:S204" si="104">O216+O208+O212+O220+O224+O228+O231</f>
        <v>0</v>
      </c>
      <c r="P204" s="19">
        <f t="shared" si="104"/>
        <v>0</v>
      </c>
      <c r="Q204" s="19">
        <f t="shared" si="104"/>
        <v>0</v>
      </c>
      <c r="R204" s="19">
        <f t="shared" si="104"/>
        <v>0</v>
      </c>
      <c r="S204" s="19">
        <f t="shared" si="104"/>
        <v>0</v>
      </c>
      <c r="T204" s="17"/>
    </row>
    <row r="205" spans="1:20" ht="29.65" customHeight="1" x14ac:dyDescent="0.25">
      <c r="A205" s="13">
        <v>188</v>
      </c>
      <c r="B205" s="14" t="s">
        <v>24</v>
      </c>
      <c r="C205" s="19">
        <f t="shared" si="101"/>
        <v>0</v>
      </c>
      <c r="D205" s="19">
        <f>D217</f>
        <v>0</v>
      </c>
      <c r="E205" s="19">
        <f>E217</f>
        <v>0</v>
      </c>
      <c r="F205" s="19">
        <f>F217</f>
        <v>0</v>
      </c>
      <c r="G205" s="19">
        <f>G217+G209+G213+G221+G229</f>
        <v>0</v>
      </c>
      <c r="H205" s="19">
        <f>H217+H209+H213+H221+H229</f>
        <v>0</v>
      </c>
      <c r="I205" s="19">
        <f>I213+I217+I221+I225+I229</f>
        <v>0</v>
      </c>
      <c r="J205" s="19">
        <f>J217+J209+J213+J221+J225+J229+J235</f>
        <v>0</v>
      </c>
      <c r="K205" s="19">
        <f>K217+K209+K213+K221+K225+K229+K235</f>
        <v>0</v>
      </c>
      <c r="L205" s="19">
        <f>L217+L209+L213+L221+L225+L229+L235</f>
        <v>0</v>
      </c>
      <c r="M205" s="19">
        <f>M217+M209+M213+M221+M225+M229+M234</f>
        <v>0</v>
      </c>
      <c r="N205" s="19">
        <f t="shared" ref="N205:S205" si="105">N217+N209+N213+N221+N225+N229+N235</f>
        <v>0</v>
      </c>
      <c r="O205" s="19">
        <f t="shared" si="105"/>
        <v>0</v>
      </c>
      <c r="P205" s="19">
        <f t="shared" si="105"/>
        <v>0</v>
      </c>
      <c r="Q205" s="19">
        <f t="shared" si="105"/>
        <v>0</v>
      </c>
      <c r="R205" s="19">
        <f t="shared" si="105"/>
        <v>0</v>
      </c>
      <c r="S205" s="19">
        <f t="shared" si="105"/>
        <v>0</v>
      </c>
      <c r="T205" s="19"/>
    </row>
    <row r="206" spans="1:20" ht="261.75" customHeight="1" x14ac:dyDescent="0.25">
      <c r="A206" s="13">
        <v>189</v>
      </c>
      <c r="B206" s="32" t="s">
        <v>111</v>
      </c>
      <c r="C206" s="19">
        <f t="shared" si="101"/>
        <v>1001213</v>
      </c>
      <c r="D206" s="19">
        <f t="shared" ref="D206:I206" si="106">SUM(D207:D209)</f>
        <v>1001213</v>
      </c>
      <c r="E206" s="19">
        <f t="shared" si="106"/>
        <v>0</v>
      </c>
      <c r="F206" s="19">
        <f t="shared" si="106"/>
        <v>0</v>
      </c>
      <c r="G206" s="19">
        <f t="shared" si="106"/>
        <v>0</v>
      </c>
      <c r="H206" s="19">
        <f t="shared" si="106"/>
        <v>0</v>
      </c>
      <c r="I206" s="19">
        <f t="shared" si="106"/>
        <v>0</v>
      </c>
      <c r="J206" s="19">
        <f t="shared" ref="J206:S206" si="107">J207+J208+J209</f>
        <v>0</v>
      </c>
      <c r="K206" s="19">
        <f t="shared" si="107"/>
        <v>0</v>
      </c>
      <c r="L206" s="19">
        <f t="shared" si="107"/>
        <v>0</v>
      </c>
      <c r="M206" s="19">
        <f t="shared" si="107"/>
        <v>0</v>
      </c>
      <c r="N206" s="19">
        <f t="shared" si="107"/>
        <v>0</v>
      </c>
      <c r="O206" s="19">
        <f t="shared" si="107"/>
        <v>0</v>
      </c>
      <c r="P206" s="19">
        <f t="shared" si="107"/>
        <v>0</v>
      </c>
      <c r="Q206" s="19">
        <f t="shared" si="107"/>
        <v>0</v>
      </c>
      <c r="R206" s="19">
        <f t="shared" si="107"/>
        <v>0</v>
      </c>
      <c r="S206" s="19">
        <f t="shared" si="107"/>
        <v>0</v>
      </c>
      <c r="T206" s="17" t="s">
        <v>60</v>
      </c>
    </row>
    <row r="207" spans="1:20" x14ac:dyDescent="0.25">
      <c r="A207" s="13">
        <v>190</v>
      </c>
      <c r="B207" s="14" t="s">
        <v>22</v>
      </c>
      <c r="C207" s="19">
        <f t="shared" si="101"/>
        <v>0</v>
      </c>
      <c r="D207" s="19">
        <v>0</v>
      </c>
      <c r="E207" s="19">
        <v>0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/>
    </row>
    <row r="208" spans="1:20" x14ac:dyDescent="0.25">
      <c r="A208" s="13">
        <v>191</v>
      </c>
      <c r="B208" s="14" t="s">
        <v>23</v>
      </c>
      <c r="C208" s="19">
        <f t="shared" si="101"/>
        <v>1001213</v>
      </c>
      <c r="D208" s="22">
        <v>1001213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19"/>
    </row>
    <row r="209" spans="1:20" ht="29.25" x14ac:dyDescent="0.25">
      <c r="A209" s="13">
        <v>192</v>
      </c>
      <c r="B209" s="14" t="s">
        <v>24</v>
      </c>
      <c r="C209" s="19">
        <f t="shared" si="101"/>
        <v>0</v>
      </c>
      <c r="D209" s="19">
        <v>0</v>
      </c>
      <c r="E209" s="19">
        <v>0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/>
    </row>
    <row r="210" spans="1:20" ht="175.5" customHeight="1" x14ac:dyDescent="0.25">
      <c r="A210" s="13">
        <v>193</v>
      </c>
      <c r="B210" s="32" t="s">
        <v>112</v>
      </c>
      <c r="C210" s="19">
        <f t="shared" si="101"/>
        <v>3090392.63</v>
      </c>
      <c r="D210" s="19">
        <f t="shared" ref="D210:I210" si="108">SUM(D211:D213)</f>
        <v>0</v>
      </c>
      <c r="E210" s="19">
        <f t="shared" si="108"/>
        <v>3090392.63</v>
      </c>
      <c r="F210" s="19">
        <f t="shared" si="108"/>
        <v>0</v>
      </c>
      <c r="G210" s="19">
        <f t="shared" si="108"/>
        <v>0</v>
      </c>
      <c r="H210" s="19">
        <f t="shared" si="108"/>
        <v>0</v>
      </c>
      <c r="I210" s="19">
        <f t="shared" si="108"/>
        <v>0</v>
      </c>
      <c r="J210" s="19">
        <f t="shared" ref="J210:Q210" si="109">J211+J212+J213</f>
        <v>0</v>
      </c>
      <c r="K210" s="19">
        <f t="shared" si="109"/>
        <v>0</v>
      </c>
      <c r="L210" s="19">
        <f t="shared" si="109"/>
        <v>0</v>
      </c>
      <c r="M210" s="19">
        <f t="shared" si="109"/>
        <v>0</v>
      </c>
      <c r="N210" s="19">
        <f t="shared" si="109"/>
        <v>0</v>
      </c>
      <c r="O210" s="19">
        <f t="shared" si="109"/>
        <v>0</v>
      </c>
      <c r="P210" s="19">
        <f t="shared" si="109"/>
        <v>0</v>
      </c>
      <c r="Q210" s="19">
        <f t="shared" si="109"/>
        <v>0</v>
      </c>
      <c r="R210" s="19">
        <f>R211+R212+R24</f>
        <v>0</v>
      </c>
      <c r="S210" s="19">
        <f>S211+S212+S213</f>
        <v>0</v>
      </c>
      <c r="T210" s="17" t="s">
        <v>60</v>
      </c>
    </row>
    <row r="211" spans="1:20" x14ac:dyDescent="0.25">
      <c r="A211" s="13">
        <v>194</v>
      </c>
      <c r="B211" s="14" t="s">
        <v>22</v>
      </c>
      <c r="C211" s="19">
        <f t="shared" si="101"/>
        <v>0</v>
      </c>
      <c r="D211" s="19">
        <v>0</v>
      </c>
      <c r="E211" s="19">
        <v>0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/>
    </row>
    <row r="212" spans="1:20" x14ac:dyDescent="0.25">
      <c r="A212" s="13">
        <v>195</v>
      </c>
      <c r="B212" s="14" t="s">
        <v>23</v>
      </c>
      <c r="C212" s="19">
        <f t="shared" si="101"/>
        <v>3090392.63</v>
      </c>
      <c r="D212" s="22">
        <v>0</v>
      </c>
      <c r="E212" s="22">
        <v>3090392.63</v>
      </c>
      <c r="F212" s="26">
        <v>0</v>
      </c>
      <c r="G212" s="26">
        <v>0</v>
      </c>
      <c r="H212" s="26">
        <v>0</v>
      </c>
      <c r="I212" s="26">
        <v>0</v>
      </c>
      <c r="J212" s="26">
        <v>0</v>
      </c>
      <c r="K212" s="26">
        <v>0</v>
      </c>
      <c r="L212" s="26">
        <v>0</v>
      </c>
      <c r="M212" s="26">
        <v>0</v>
      </c>
      <c r="N212" s="26">
        <v>0</v>
      </c>
      <c r="O212" s="26">
        <v>0</v>
      </c>
      <c r="P212" s="26">
        <v>0</v>
      </c>
      <c r="Q212" s="26">
        <v>0</v>
      </c>
      <c r="R212" s="26">
        <v>0</v>
      </c>
      <c r="S212" s="26">
        <v>0</v>
      </c>
      <c r="T212" s="19"/>
    </row>
    <row r="213" spans="1:20" ht="29.25" x14ac:dyDescent="0.25">
      <c r="A213" s="13">
        <v>196</v>
      </c>
      <c r="B213" s="14" t="s">
        <v>24</v>
      </c>
      <c r="C213" s="19">
        <f t="shared" si="101"/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/>
    </row>
    <row r="214" spans="1:20" ht="147" customHeight="1" x14ac:dyDescent="0.25">
      <c r="A214" s="13">
        <v>197</v>
      </c>
      <c r="B214" s="32" t="s">
        <v>113</v>
      </c>
      <c r="C214" s="19">
        <f t="shared" si="101"/>
        <v>425000</v>
      </c>
      <c r="D214" s="19">
        <f>SUM(D215:D217)</f>
        <v>0</v>
      </c>
      <c r="E214" s="19">
        <f>SUM(E215:E217)</f>
        <v>425000</v>
      </c>
      <c r="F214" s="19">
        <f>F215+F216+F217</f>
        <v>0</v>
      </c>
      <c r="G214" s="19">
        <v>0</v>
      </c>
      <c r="H214" s="19">
        <f>SUM(H215:H217)</f>
        <v>0</v>
      </c>
      <c r="I214" s="19">
        <f>SUM(I215:I217)</f>
        <v>0</v>
      </c>
      <c r="J214" s="19">
        <f t="shared" ref="J214:S214" si="110">J215+J216+J217</f>
        <v>0</v>
      </c>
      <c r="K214" s="19">
        <f t="shared" si="110"/>
        <v>0</v>
      </c>
      <c r="L214" s="19">
        <f t="shared" si="110"/>
        <v>0</v>
      </c>
      <c r="M214" s="19">
        <f t="shared" si="110"/>
        <v>0</v>
      </c>
      <c r="N214" s="19">
        <f t="shared" si="110"/>
        <v>0</v>
      </c>
      <c r="O214" s="19">
        <f t="shared" si="110"/>
        <v>0</v>
      </c>
      <c r="P214" s="19">
        <f t="shared" si="110"/>
        <v>0</v>
      </c>
      <c r="Q214" s="19">
        <f t="shared" si="110"/>
        <v>0</v>
      </c>
      <c r="R214" s="19">
        <f t="shared" si="110"/>
        <v>0</v>
      </c>
      <c r="S214" s="19">
        <f t="shared" si="110"/>
        <v>0</v>
      </c>
      <c r="T214" s="17" t="s">
        <v>60</v>
      </c>
    </row>
    <row r="215" spans="1:20" x14ac:dyDescent="0.25">
      <c r="A215" s="13">
        <v>198</v>
      </c>
      <c r="B215" s="14" t="s">
        <v>22</v>
      </c>
      <c r="C215" s="19">
        <f t="shared" si="101"/>
        <v>0</v>
      </c>
      <c r="D215" s="19">
        <v>0</v>
      </c>
      <c r="E215" s="19">
        <v>0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/>
    </row>
    <row r="216" spans="1:20" x14ac:dyDescent="0.25">
      <c r="A216" s="13">
        <v>199</v>
      </c>
      <c r="B216" s="14" t="s">
        <v>23</v>
      </c>
      <c r="C216" s="19">
        <f t="shared" si="101"/>
        <v>425000</v>
      </c>
      <c r="D216" s="22">
        <v>0</v>
      </c>
      <c r="E216" s="22">
        <v>425000</v>
      </c>
      <c r="F216" s="26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19">
        <v>0</v>
      </c>
      <c r="N216" s="19">
        <v>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/>
    </row>
    <row r="217" spans="1:20" ht="29.25" x14ac:dyDescent="0.25">
      <c r="A217" s="13">
        <v>200</v>
      </c>
      <c r="B217" s="14" t="s">
        <v>24</v>
      </c>
      <c r="C217" s="19">
        <f t="shared" si="101"/>
        <v>0</v>
      </c>
      <c r="D217" s="19">
        <v>0</v>
      </c>
      <c r="E217" s="19">
        <v>0</v>
      </c>
      <c r="F217" s="19">
        <v>0</v>
      </c>
      <c r="G217" s="19">
        <v>0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19">
        <v>0</v>
      </c>
      <c r="T217" s="19"/>
    </row>
    <row r="218" spans="1:20" ht="137.25" customHeight="1" x14ac:dyDescent="0.25">
      <c r="A218" s="13">
        <v>201</v>
      </c>
      <c r="B218" s="32" t="s">
        <v>114</v>
      </c>
      <c r="C218" s="19">
        <f t="shared" si="101"/>
        <v>187495.48</v>
      </c>
      <c r="D218" s="19">
        <f t="shared" ref="D218:S218" si="111">D219+D220+D221</f>
        <v>0</v>
      </c>
      <c r="E218" s="19">
        <f t="shared" si="111"/>
        <v>0</v>
      </c>
      <c r="F218" s="19">
        <f t="shared" si="111"/>
        <v>187495.48</v>
      </c>
      <c r="G218" s="19">
        <f t="shared" si="111"/>
        <v>0</v>
      </c>
      <c r="H218" s="19">
        <f t="shared" si="111"/>
        <v>0</v>
      </c>
      <c r="I218" s="19">
        <f t="shared" si="111"/>
        <v>0</v>
      </c>
      <c r="J218" s="19">
        <f t="shared" si="111"/>
        <v>0</v>
      </c>
      <c r="K218" s="19">
        <f t="shared" si="111"/>
        <v>0</v>
      </c>
      <c r="L218" s="19">
        <f t="shared" si="111"/>
        <v>0</v>
      </c>
      <c r="M218" s="19">
        <f t="shared" si="111"/>
        <v>0</v>
      </c>
      <c r="N218" s="19">
        <f t="shared" si="111"/>
        <v>0</v>
      </c>
      <c r="O218" s="19">
        <f t="shared" si="111"/>
        <v>0</v>
      </c>
      <c r="P218" s="19">
        <f t="shared" si="111"/>
        <v>0</v>
      </c>
      <c r="Q218" s="19">
        <f t="shared" si="111"/>
        <v>0</v>
      </c>
      <c r="R218" s="19">
        <f t="shared" si="111"/>
        <v>0</v>
      </c>
      <c r="S218" s="19">
        <f t="shared" si="111"/>
        <v>0</v>
      </c>
      <c r="T218" s="17" t="s">
        <v>61</v>
      </c>
    </row>
    <row r="219" spans="1:20" x14ac:dyDescent="0.25">
      <c r="A219" s="13">
        <v>202</v>
      </c>
      <c r="B219" s="14" t="s">
        <v>22</v>
      </c>
      <c r="C219" s="19">
        <f t="shared" si="101"/>
        <v>0</v>
      </c>
      <c r="D219" s="19">
        <v>0</v>
      </c>
      <c r="E219" s="19">
        <v>0</v>
      </c>
      <c r="F219" s="19">
        <v>0</v>
      </c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/>
    </row>
    <row r="220" spans="1:20" ht="17.25" customHeight="1" x14ac:dyDescent="0.25">
      <c r="A220" s="13">
        <v>203</v>
      </c>
      <c r="B220" s="14" t="s">
        <v>23</v>
      </c>
      <c r="C220" s="19">
        <f t="shared" si="101"/>
        <v>187495.48</v>
      </c>
      <c r="D220" s="19">
        <v>0</v>
      </c>
      <c r="E220" s="19">
        <v>0</v>
      </c>
      <c r="F220" s="19">
        <f>44627.6+28315+114552.88</f>
        <v>187495.48</v>
      </c>
      <c r="G220" s="19">
        <v>0</v>
      </c>
      <c r="H220" s="19">
        <v>0</v>
      </c>
      <c r="I220" s="19">
        <v>0</v>
      </c>
      <c r="J220" s="19">
        <v>0</v>
      </c>
      <c r="K220" s="19">
        <v>0</v>
      </c>
      <c r="L220" s="19">
        <v>0</v>
      </c>
      <c r="M220" s="19">
        <v>0</v>
      </c>
      <c r="N220" s="19">
        <v>0</v>
      </c>
      <c r="O220" s="19">
        <v>0</v>
      </c>
      <c r="P220" s="19">
        <v>0</v>
      </c>
      <c r="Q220" s="19">
        <v>0</v>
      </c>
      <c r="R220" s="19">
        <v>0</v>
      </c>
      <c r="S220" s="19">
        <v>0</v>
      </c>
      <c r="T220" s="19"/>
    </row>
    <row r="221" spans="1:20" ht="33.75" customHeight="1" x14ac:dyDescent="0.25">
      <c r="A221" s="13">
        <v>204</v>
      </c>
      <c r="B221" s="14" t="s">
        <v>24</v>
      </c>
      <c r="C221" s="19">
        <f t="shared" si="101"/>
        <v>0</v>
      </c>
      <c r="D221" s="19">
        <v>0</v>
      </c>
      <c r="E221" s="19">
        <v>0</v>
      </c>
      <c r="F221" s="19">
        <v>0</v>
      </c>
      <c r="G221" s="19">
        <v>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/>
    </row>
    <row r="222" spans="1:20" ht="249.75" customHeight="1" x14ac:dyDescent="0.25">
      <c r="A222" s="13">
        <v>205</v>
      </c>
      <c r="B222" s="36" t="s">
        <v>115</v>
      </c>
      <c r="C222" s="19">
        <f t="shared" si="101"/>
        <v>433380</v>
      </c>
      <c r="D222" s="19">
        <v>0</v>
      </c>
      <c r="E222" s="19">
        <v>0</v>
      </c>
      <c r="F222" s="19">
        <v>0</v>
      </c>
      <c r="G222" s="19">
        <f t="shared" ref="G222:Q222" si="112">G223+G224+G229</f>
        <v>433380</v>
      </c>
      <c r="H222" s="19">
        <f t="shared" si="112"/>
        <v>0</v>
      </c>
      <c r="I222" s="19">
        <f t="shared" si="112"/>
        <v>0</v>
      </c>
      <c r="J222" s="19">
        <f t="shared" si="112"/>
        <v>0</v>
      </c>
      <c r="K222" s="19">
        <f t="shared" si="112"/>
        <v>0</v>
      </c>
      <c r="L222" s="19">
        <f t="shared" si="112"/>
        <v>0</v>
      </c>
      <c r="M222" s="19">
        <f t="shared" si="112"/>
        <v>0</v>
      </c>
      <c r="N222" s="19">
        <f t="shared" si="112"/>
        <v>0</v>
      </c>
      <c r="O222" s="19">
        <f t="shared" si="112"/>
        <v>0</v>
      </c>
      <c r="P222" s="19">
        <f t="shared" si="112"/>
        <v>0</v>
      </c>
      <c r="Q222" s="19">
        <f t="shared" si="112"/>
        <v>0</v>
      </c>
      <c r="R222" s="19">
        <f>SUM(R223:R225)</f>
        <v>0</v>
      </c>
      <c r="S222" s="19">
        <f>SUM(S223:S225)</f>
        <v>0</v>
      </c>
      <c r="T222" s="15" t="s">
        <v>62</v>
      </c>
    </row>
    <row r="223" spans="1:20" ht="16.5" customHeight="1" x14ac:dyDescent="0.25">
      <c r="A223" s="13">
        <v>206</v>
      </c>
      <c r="B223" s="14" t="s">
        <v>22</v>
      </c>
      <c r="C223" s="19">
        <f t="shared" si="101"/>
        <v>0</v>
      </c>
      <c r="D223" s="19">
        <v>0</v>
      </c>
      <c r="E223" s="19">
        <v>0</v>
      </c>
      <c r="F223" s="19">
        <v>0</v>
      </c>
      <c r="G223" s="19">
        <v>0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/>
    </row>
    <row r="224" spans="1:20" x14ac:dyDescent="0.25">
      <c r="A224" s="13">
        <v>207</v>
      </c>
      <c r="B224" s="14" t="s">
        <v>23</v>
      </c>
      <c r="C224" s="19">
        <f t="shared" si="101"/>
        <v>433380</v>
      </c>
      <c r="D224" s="19">
        <v>0</v>
      </c>
      <c r="E224" s="19">
        <v>0</v>
      </c>
      <c r="F224" s="19">
        <v>0</v>
      </c>
      <c r="G224" s="19">
        <f>476080-42700</f>
        <v>433380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/>
    </row>
    <row r="225" spans="1:20" ht="29.25" x14ac:dyDescent="0.25">
      <c r="A225" s="13">
        <v>208</v>
      </c>
      <c r="B225" s="14" t="s">
        <v>24</v>
      </c>
      <c r="C225" s="19">
        <f t="shared" si="101"/>
        <v>0</v>
      </c>
      <c r="D225" s="19">
        <v>0</v>
      </c>
      <c r="E225" s="19">
        <v>0</v>
      </c>
      <c r="F225" s="19">
        <v>0</v>
      </c>
      <c r="G225" s="19">
        <v>0</v>
      </c>
      <c r="H225" s="19">
        <v>0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  <c r="N225" s="19">
        <v>0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/>
    </row>
    <row r="226" spans="1:20" ht="175.5" customHeight="1" x14ac:dyDescent="0.25">
      <c r="A226" s="13">
        <v>209</v>
      </c>
      <c r="B226" s="36" t="s">
        <v>116</v>
      </c>
      <c r="C226" s="19">
        <f t="shared" si="101"/>
        <v>284535.43</v>
      </c>
      <c r="D226" s="19">
        <v>0</v>
      </c>
      <c r="E226" s="19">
        <v>0</v>
      </c>
      <c r="F226" s="19">
        <v>0</v>
      </c>
      <c r="G226" s="19">
        <f t="shared" ref="G226:Q226" si="113">SUM(G227:G229)</f>
        <v>0</v>
      </c>
      <c r="H226" s="19">
        <f t="shared" si="113"/>
        <v>0</v>
      </c>
      <c r="I226" s="19">
        <f t="shared" si="113"/>
        <v>0</v>
      </c>
      <c r="J226" s="19">
        <f t="shared" si="113"/>
        <v>284535.43</v>
      </c>
      <c r="K226" s="19">
        <f t="shared" si="113"/>
        <v>0</v>
      </c>
      <c r="L226" s="19">
        <f t="shared" si="113"/>
        <v>0</v>
      </c>
      <c r="M226" s="19">
        <f t="shared" si="113"/>
        <v>0</v>
      </c>
      <c r="N226" s="19">
        <f t="shared" si="113"/>
        <v>0</v>
      </c>
      <c r="O226" s="19">
        <f t="shared" si="113"/>
        <v>0</v>
      </c>
      <c r="P226" s="19">
        <f t="shared" si="113"/>
        <v>0</v>
      </c>
      <c r="Q226" s="19">
        <f t="shared" si="113"/>
        <v>0</v>
      </c>
      <c r="R226" s="19">
        <f>R227+R228+R229</f>
        <v>0</v>
      </c>
      <c r="S226" s="19">
        <f>S227+S228+S229</f>
        <v>0</v>
      </c>
      <c r="T226" s="15" t="s">
        <v>63</v>
      </c>
    </row>
    <row r="227" spans="1:20" x14ac:dyDescent="0.25">
      <c r="A227" s="13">
        <v>210</v>
      </c>
      <c r="B227" s="14" t="s">
        <v>22</v>
      </c>
      <c r="C227" s="19">
        <f t="shared" si="101"/>
        <v>0</v>
      </c>
      <c r="D227" s="19">
        <v>0</v>
      </c>
      <c r="E227" s="19">
        <v>0</v>
      </c>
      <c r="F227" s="19">
        <v>0</v>
      </c>
      <c r="G227" s="19">
        <v>0</v>
      </c>
      <c r="H227" s="19">
        <v>0</v>
      </c>
      <c r="I227" s="19">
        <v>0</v>
      </c>
      <c r="J227" s="19">
        <v>0</v>
      </c>
      <c r="K227" s="19">
        <v>0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/>
    </row>
    <row r="228" spans="1:20" x14ac:dyDescent="0.25">
      <c r="A228" s="13">
        <v>211</v>
      </c>
      <c r="B228" s="14" t="s">
        <v>23</v>
      </c>
      <c r="C228" s="19">
        <f t="shared" si="101"/>
        <v>284535.43</v>
      </c>
      <c r="D228" s="19">
        <v>0</v>
      </c>
      <c r="E228" s="19">
        <v>0</v>
      </c>
      <c r="F228" s="19">
        <v>0</v>
      </c>
      <c r="G228" s="19">
        <v>0</v>
      </c>
      <c r="H228" s="19">
        <v>0</v>
      </c>
      <c r="I228" s="19">
        <f>1116000-1116000</f>
        <v>0</v>
      </c>
      <c r="J228" s="19">
        <f>100000+184535.43</f>
        <v>284535.43</v>
      </c>
      <c r="K228" s="19">
        <v>0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/>
    </row>
    <row r="229" spans="1:20" ht="29.25" x14ac:dyDescent="0.25">
      <c r="A229" s="13">
        <v>212</v>
      </c>
      <c r="B229" s="14" t="s">
        <v>24</v>
      </c>
      <c r="C229" s="19">
        <f t="shared" si="101"/>
        <v>0</v>
      </c>
      <c r="D229" s="19">
        <v>0</v>
      </c>
      <c r="E229" s="19">
        <v>0</v>
      </c>
      <c r="F229" s="19">
        <v>0</v>
      </c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/>
    </row>
    <row r="230" spans="1:20" ht="141" customHeight="1" x14ac:dyDescent="0.25">
      <c r="A230" s="13">
        <v>213</v>
      </c>
      <c r="B230" s="32" t="s">
        <v>117</v>
      </c>
      <c r="C230" s="19">
        <f t="shared" si="101"/>
        <v>325902.65000000002</v>
      </c>
      <c r="D230" s="19">
        <f t="shared" ref="D230:S230" si="114">D231</f>
        <v>0</v>
      </c>
      <c r="E230" s="19">
        <f t="shared" si="114"/>
        <v>0</v>
      </c>
      <c r="F230" s="19">
        <f t="shared" si="114"/>
        <v>0</v>
      </c>
      <c r="G230" s="19">
        <f t="shared" si="114"/>
        <v>0</v>
      </c>
      <c r="H230" s="19">
        <f t="shared" si="114"/>
        <v>0</v>
      </c>
      <c r="I230" s="19">
        <f t="shared" si="114"/>
        <v>0</v>
      </c>
      <c r="J230" s="19">
        <f t="shared" si="114"/>
        <v>325902.65000000002</v>
      </c>
      <c r="K230" s="19">
        <f t="shared" si="114"/>
        <v>0</v>
      </c>
      <c r="L230" s="19">
        <f t="shared" si="114"/>
        <v>0</v>
      </c>
      <c r="M230" s="19">
        <f t="shared" si="114"/>
        <v>0</v>
      </c>
      <c r="N230" s="19">
        <f t="shared" si="114"/>
        <v>0</v>
      </c>
      <c r="O230" s="19">
        <f t="shared" si="114"/>
        <v>0</v>
      </c>
      <c r="P230" s="19">
        <f t="shared" si="114"/>
        <v>0</v>
      </c>
      <c r="Q230" s="19">
        <f t="shared" si="114"/>
        <v>0</v>
      </c>
      <c r="R230" s="19">
        <f t="shared" si="114"/>
        <v>0</v>
      </c>
      <c r="S230" s="19">
        <f t="shared" si="114"/>
        <v>0</v>
      </c>
      <c r="T230" s="19" t="s">
        <v>64</v>
      </c>
    </row>
    <row r="231" spans="1:20" x14ac:dyDescent="0.25">
      <c r="A231" s="13">
        <v>214</v>
      </c>
      <c r="B231" s="14" t="s">
        <v>23</v>
      </c>
      <c r="C231" s="19">
        <f t="shared" si="101"/>
        <v>325902.65000000002</v>
      </c>
      <c r="D231" s="19">
        <v>0</v>
      </c>
      <c r="E231" s="19">
        <v>0</v>
      </c>
      <c r="F231" s="19">
        <v>0</v>
      </c>
      <c r="G231" s="19">
        <v>0</v>
      </c>
      <c r="H231" s="19">
        <v>0</v>
      </c>
      <c r="I231" s="19">
        <f>1116000-1116000</f>
        <v>0</v>
      </c>
      <c r="J231" s="19">
        <f>282806+30214+109820.4-96937.75</f>
        <v>325902.65000000002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/>
    </row>
    <row r="232" spans="1:20" ht="92.45" customHeight="1" x14ac:dyDescent="0.25">
      <c r="A232" s="13">
        <v>215</v>
      </c>
      <c r="B232" s="32" t="s">
        <v>118</v>
      </c>
      <c r="C232" s="19">
        <f t="shared" si="101"/>
        <v>456000</v>
      </c>
      <c r="D232" s="19">
        <f t="shared" ref="D232:S232" si="115">D233+D234</f>
        <v>0</v>
      </c>
      <c r="E232" s="19">
        <f t="shared" si="115"/>
        <v>0</v>
      </c>
      <c r="F232" s="19">
        <f t="shared" si="115"/>
        <v>0</v>
      </c>
      <c r="G232" s="19">
        <f t="shared" si="115"/>
        <v>0</v>
      </c>
      <c r="H232" s="19">
        <f t="shared" si="115"/>
        <v>0</v>
      </c>
      <c r="I232" s="19">
        <f t="shared" si="115"/>
        <v>0</v>
      </c>
      <c r="J232" s="19">
        <f t="shared" si="115"/>
        <v>0</v>
      </c>
      <c r="K232" s="19">
        <f t="shared" si="115"/>
        <v>0</v>
      </c>
      <c r="L232" s="19">
        <f t="shared" si="115"/>
        <v>0</v>
      </c>
      <c r="M232" s="19">
        <f t="shared" si="115"/>
        <v>0</v>
      </c>
      <c r="N232" s="19">
        <f t="shared" si="115"/>
        <v>456000</v>
      </c>
      <c r="O232" s="19">
        <f t="shared" si="115"/>
        <v>0</v>
      </c>
      <c r="P232" s="19">
        <f t="shared" si="115"/>
        <v>0</v>
      </c>
      <c r="Q232" s="19">
        <f t="shared" si="115"/>
        <v>0</v>
      </c>
      <c r="R232" s="19">
        <f t="shared" si="115"/>
        <v>0</v>
      </c>
      <c r="S232" s="19">
        <f t="shared" si="115"/>
        <v>0</v>
      </c>
      <c r="T232" s="19" t="s">
        <v>64</v>
      </c>
    </row>
    <row r="233" spans="1:20" x14ac:dyDescent="0.25">
      <c r="A233" s="13">
        <v>216</v>
      </c>
      <c r="B233" s="14" t="s">
        <v>23</v>
      </c>
      <c r="C233" s="19">
        <f t="shared" si="101"/>
        <v>456000</v>
      </c>
      <c r="D233" s="19">
        <v>0</v>
      </c>
      <c r="E233" s="19"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f>227500-227500</f>
        <v>0</v>
      </c>
      <c r="N233" s="19">
        <v>456000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/>
    </row>
    <row r="234" spans="1:20" ht="29.25" x14ac:dyDescent="0.25">
      <c r="A234" s="13">
        <v>217</v>
      </c>
      <c r="B234" s="14" t="s">
        <v>24</v>
      </c>
      <c r="C234" s="19">
        <f t="shared" si="101"/>
        <v>0</v>
      </c>
      <c r="D234" s="19">
        <v>0</v>
      </c>
      <c r="E234" s="19"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/>
    </row>
    <row r="235" spans="1:20" ht="26.25" customHeight="1" x14ac:dyDescent="0.25">
      <c r="A235" s="13">
        <v>218</v>
      </c>
      <c r="B235" s="41" t="s">
        <v>137</v>
      </c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</row>
    <row r="236" spans="1:20" ht="54.75" customHeight="1" x14ac:dyDescent="0.25">
      <c r="A236" s="13">
        <v>219</v>
      </c>
      <c r="B236" s="14" t="s">
        <v>65</v>
      </c>
      <c r="C236" s="19">
        <f>SUM(D236:S236)</f>
        <v>703202.5</v>
      </c>
      <c r="D236" s="19">
        <f t="shared" ref="D236:S236" si="116">D241+D251</f>
        <v>144100</v>
      </c>
      <c r="E236" s="19">
        <f t="shared" si="116"/>
        <v>240997.5</v>
      </c>
      <c r="F236" s="19">
        <f t="shared" si="116"/>
        <v>149900</v>
      </c>
      <c r="G236" s="19">
        <f t="shared" si="116"/>
        <v>168205</v>
      </c>
      <c r="H236" s="19">
        <f t="shared" si="116"/>
        <v>0</v>
      </c>
      <c r="I236" s="19">
        <f t="shared" si="116"/>
        <v>0</v>
      </c>
      <c r="J236" s="19">
        <f t="shared" si="116"/>
        <v>0</v>
      </c>
      <c r="K236" s="19">
        <f t="shared" si="116"/>
        <v>0</v>
      </c>
      <c r="L236" s="19">
        <f t="shared" si="116"/>
        <v>0</v>
      </c>
      <c r="M236" s="19">
        <f t="shared" si="116"/>
        <v>0</v>
      </c>
      <c r="N236" s="19">
        <f t="shared" si="116"/>
        <v>0</v>
      </c>
      <c r="O236" s="19">
        <f t="shared" si="116"/>
        <v>0</v>
      </c>
      <c r="P236" s="19">
        <f t="shared" si="116"/>
        <v>0</v>
      </c>
      <c r="Q236" s="19">
        <f t="shared" si="116"/>
        <v>0</v>
      </c>
      <c r="R236" s="19">
        <f t="shared" si="116"/>
        <v>0</v>
      </c>
      <c r="S236" s="19">
        <f t="shared" si="116"/>
        <v>0</v>
      </c>
      <c r="T236" s="15" t="s">
        <v>66</v>
      </c>
    </row>
    <row r="237" spans="1:20" x14ac:dyDescent="0.25">
      <c r="A237" s="13">
        <v>220</v>
      </c>
      <c r="B237" s="14" t="s">
        <v>22</v>
      </c>
      <c r="C237" s="19">
        <f>SUM(D237:S237)</f>
        <v>138000</v>
      </c>
      <c r="D237" s="19">
        <f t="shared" ref="D237:S237" si="117">D242+D252</f>
        <v>34100</v>
      </c>
      <c r="E237" s="19">
        <f t="shared" si="117"/>
        <v>16200</v>
      </c>
      <c r="F237" s="19">
        <f t="shared" si="117"/>
        <v>35800</v>
      </c>
      <c r="G237" s="19">
        <f t="shared" si="117"/>
        <v>51900</v>
      </c>
      <c r="H237" s="19">
        <f t="shared" si="117"/>
        <v>0</v>
      </c>
      <c r="I237" s="19">
        <f t="shared" si="117"/>
        <v>0</v>
      </c>
      <c r="J237" s="19">
        <f t="shared" si="117"/>
        <v>0</v>
      </c>
      <c r="K237" s="19">
        <f t="shared" si="117"/>
        <v>0</v>
      </c>
      <c r="L237" s="19">
        <f t="shared" si="117"/>
        <v>0</v>
      </c>
      <c r="M237" s="19">
        <f t="shared" si="117"/>
        <v>0</v>
      </c>
      <c r="N237" s="19">
        <f t="shared" si="117"/>
        <v>0</v>
      </c>
      <c r="O237" s="19">
        <f t="shared" si="117"/>
        <v>0</v>
      </c>
      <c r="P237" s="19">
        <f t="shared" si="117"/>
        <v>0</v>
      </c>
      <c r="Q237" s="19">
        <f t="shared" si="117"/>
        <v>0</v>
      </c>
      <c r="R237" s="19">
        <f t="shared" si="117"/>
        <v>0</v>
      </c>
      <c r="S237" s="19">
        <f t="shared" si="117"/>
        <v>0</v>
      </c>
      <c r="T237" s="19"/>
    </row>
    <row r="238" spans="1:20" x14ac:dyDescent="0.25">
      <c r="A238" s="13">
        <v>221</v>
      </c>
      <c r="B238" s="14" t="s">
        <v>23</v>
      </c>
      <c r="C238" s="19">
        <f>SUM(D238:S238)</f>
        <v>392797.5</v>
      </c>
      <c r="D238" s="19">
        <f t="shared" ref="D238:F239" si="118">D243+D253</f>
        <v>70000</v>
      </c>
      <c r="E238" s="19">
        <f t="shared" si="118"/>
        <v>182797.5</v>
      </c>
      <c r="F238" s="19">
        <f t="shared" si="118"/>
        <v>70000</v>
      </c>
      <c r="G238" s="19">
        <f>G253+G243</f>
        <v>70000</v>
      </c>
      <c r="H238" s="19">
        <f>H257</f>
        <v>0</v>
      </c>
      <c r="I238" s="19">
        <f t="shared" ref="I238:S238" si="119">I253</f>
        <v>0</v>
      </c>
      <c r="J238" s="19">
        <f t="shared" si="119"/>
        <v>0</v>
      </c>
      <c r="K238" s="19">
        <f t="shared" si="119"/>
        <v>0</v>
      </c>
      <c r="L238" s="19">
        <f t="shared" si="119"/>
        <v>0</v>
      </c>
      <c r="M238" s="19">
        <f t="shared" si="119"/>
        <v>0</v>
      </c>
      <c r="N238" s="19">
        <f t="shared" si="119"/>
        <v>0</v>
      </c>
      <c r="O238" s="19">
        <f t="shared" si="119"/>
        <v>0</v>
      </c>
      <c r="P238" s="19">
        <f t="shared" si="119"/>
        <v>0</v>
      </c>
      <c r="Q238" s="19">
        <f t="shared" si="119"/>
        <v>0</v>
      </c>
      <c r="R238" s="19">
        <f t="shared" si="119"/>
        <v>0</v>
      </c>
      <c r="S238" s="19">
        <f t="shared" si="119"/>
        <v>0</v>
      </c>
      <c r="T238" s="19"/>
    </row>
    <row r="239" spans="1:20" ht="29.25" x14ac:dyDescent="0.25">
      <c r="A239" s="13">
        <v>222</v>
      </c>
      <c r="B239" s="14" t="s">
        <v>24</v>
      </c>
      <c r="C239" s="19">
        <f>SUM(D239:S239)</f>
        <v>172405</v>
      </c>
      <c r="D239" s="19">
        <f t="shared" si="118"/>
        <v>40000</v>
      </c>
      <c r="E239" s="19">
        <f t="shared" si="118"/>
        <v>42000</v>
      </c>
      <c r="F239" s="19">
        <f t="shared" si="118"/>
        <v>44100</v>
      </c>
      <c r="G239" s="19">
        <f t="shared" ref="G239:S239" si="120">G244+G254</f>
        <v>46305</v>
      </c>
      <c r="H239" s="19">
        <f t="shared" si="120"/>
        <v>0</v>
      </c>
      <c r="I239" s="19">
        <f t="shared" si="120"/>
        <v>0</v>
      </c>
      <c r="J239" s="19">
        <f t="shared" si="120"/>
        <v>0</v>
      </c>
      <c r="K239" s="19">
        <f t="shared" si="120"/>
        <v>0</v>
      </c>
      <c r="L239" s="19">
        <f t="shared" si="120"/>
        <v>0</v>
      </c>
      <c r="M239" s="19">
        <f t="shared" si="120"/>
        <v>0</v>
      </c>
      <c r="N239" s="19">
        <f t="shared" si="120"/>
        <v>0</v>
      </c>
      <c r="O239" s="19">
        <f t="shared" si="120"/>
        <v>0</v>
      </c>
      <c r="P239" s="19">
        <f t="shared" si="120"/>
        <v>0</v>
      </c>
      <c r="Q239" s="19">
        <f t="shared" si="120"/>
        <v>0</v>
      </c>
      <c r="R239" s="19">
        <f t="shared" si="120"/>
        <v>0</v>
      </c>
      <c r="S239" s="19">
        <f t="shared" si="120"/>
        <v>0</v>
      </c>
      <c r="T239" s="19"/>
    </row>
    <row r="240" spans="1:20" ht="15.75" customHeight="1" x14ac:dyDescent="0.25">
      <c r="A240" s="13">
        <v>223</v>
      </c>
      <c r="B240" s="41" t="s">
        <v>29</v>
      </c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</row>
    <row r="241" spans="1:20" ht="75.75" customHeight="1" x14ac:dyDescent="0.25">
      <c r="A241" s="13">
        <v>224</v>
      </c>
      <c r="B241" s="14" t="s">
        <v>30</v>
      </c>
      <c r="C241" s="19">
        <f t="shared" ref="C241:S241" si="121">C246</f>
        <v>0</v>
      </c>
      <c r="D241" s="19">
        <f t="shared" si="121"/>
        <v>0</v>
      </c>
      <c r="E241" s="19">
        <f t="shared" si="121"/>
        <v>0</v>
      </c>
      <c r="F241" s="19">
        <f t="shared" si="121"/>
        <v>0</v>
      </c>
      <c r="G241" s="19">
        <f t="shared" si="121"/>
        <v>0</v>
      </c>
      <c r="H241" s="19">
        <f t="shared" si="121"/>
        <v>0</v>
      </c>
      <c r="I241" s="19">
        <f t="shared" si="121"/>
        <v>0</v>
      </c>
      <c r="J241" s="19">
        <f t="shared" si="121"/>
        <v>0</v>
      </c>
      <c r="K241" s="19">
        <f t="shared" si="121"/>
        <v>0</v>
      </c>
      <c r="L241" s="19">
        <f t="shared" si="121"/>
        <v>0</v>
      </c>
      <c r="M241" s="19">
        <f t="shared" si="121"/>
        <v>0</v>
      </c>
      <c r="N241" s="19">
        <f t="shared" si="121"/>
        <v>0</v>
      </c>
      <c r="O241" s="19">
        <f t="shared" si="121"/>
        <v>0</v>
      </c>
      <c r="P241" s="19">
        <f t="shared" si="121"/>
        <v>0</v>
      </c>
      <c r="Q241" s="19">
        <f t="shared" si="121"/>
        <v>0</v>
      </c>
      <c r="R241" s="19">
        <f t="shared" si="121"/>
        <v>0</v>
      </c>
      <c r="S241" s="19">
        <f t="shared" si="121"/>
        <v>0</v>
      </c>
      <c r="T241" s="19"/>
    </row>
    <row r="242" spans="1:20" x14ac:dyDescent="0.25">
      <c r="A242" s="13">
        <v>225</v>
      </c>
      <c r="B242" s="14" t="s">
        <v>22</v>
      </c>
      <c r="C242" s="19">
        <f t="shared" ref="C242:S242" si="122">C247</f>
        <v>0</v>
      </c>
      <c r="D242" s="19">
        <f t="shared" si="122"/>
        <v>0</v>
      </c>
      <c r="E242" s="19">
        <f t="shared" si="122"/>
        <v>0</v>
      </c>
      <c r="F242" s="19">
        <f t="shared" si="122"/>
        <v>0</v>
      </c>
      <c r="G242" s="19">
        <f t="shared" si="122"/>
        <v>0</v>
      </c>
      <c r="H242" s="19">
        <f t="shared" si="122"/>
        <v>0</v>
      </c>
      <c r="I242" s="19">
        <f t="shared" si="122"/>
        <v>0</v>
      </c>
      <c r="J242" s="19">
        <f t="shared" si="122"/>
        <v>0</v>
      </c>
      <c r="K242" s="19">
        <f t="shared" si="122"/>
        <v>0</v>
      </c>
      <c r="L242" s="19">
        <f t="shared" si="122"/>
        <v>0</v>
      </c>
      <c r="M242" s="19">
        <f t="shared" si="122"/>
        <v>0</v>
      </c>
      <c r="N242" s="19">
        <f t="shared" si="122"/>
        <v>0</v>
      </c>
      <c r="O242" s="19">
        <f t="shared" si="122"/>
        <v>0</v>
      </c>
      <c r="P242" s="19">
        <f t="shared" si="122"/>
        <v>0</v>
      </c>
      <c r="Q242" s="19">
        <f t="shared" si="122"/>
        <v>0</v>
      </c>
      <c r="R242" s="19">
        <f t="shared" si="122"/>
        <v>0</v>
      </c>
      <c r="S242" s="19">
        <f t="shared" si="122"/>
        <v>0</v>
      </c>
      <c r="T242" s="19"/>
    </row>
    <row r="243" spans="1:20" x14ac:dyDescent="0.25">
      <c r="A243" s="13">
        <v>226</v>
      </c>
      <c r="B243" s="14" t="s">
        <v>23</v>
      </c>
      <c r="C243" s="19">
        <f t="shared" ref="C243:S243" si="123">C248</f>
        <v>0</v>
      </c>
      <c r="D243" s="19">
        <f t="shared" si="123"/>
        <v>0</v>
      </c>
      <c r="E243" s="19">
        <f t="shared" si="123"/>
        <v>0</v>
      </c>
      <c r="F243" s="19">
        <f t="shared" si="123"/>
        <v>0</v>
      </c>
      <c r="G243" s="19">
        <f t="shared" si="123"/>
        <v>0</v>
      </c>
      <c r="H243" s="19">
        <f t="shared" si="123"/>
        <v>0</v>
      </c>
      <c r="I243" s="19">
        <f t="shared" si="123"/>
        <v>0</v>
      </c>
      <c r="J243" s="19">
        <f t="shared" si="123"/>
        <v>0</v>
      </c>
      <c r="K243" s="19">
        <f t="shared" si="123"/>
        <v>0</v>
      </c>
      <c r="L243" s="19">
        <f t="shared" si="123"/>
        <v>0</v>
      </c>
      <c r="M243" s="19">
        <f t="shared" si="123"/>
        <v>0</v>
      </c>
      <c r="N243" s="19">
        <f t="shared" si="123"/>
        <v>0</v>
      </c>
      <c r="O243" s="19">
        <f t="shared" si="123"/>
        <v>0</v>
      </c>
      <c r="P243" s="19">
        <f t="shared" si="123"/>
        <v>0</v>
      </c>
      <c r="Q243" s="19">
        <f t="shared" si="123"/>
        <v>0</v>
      </c>
      <c r="R243" s="19">
        <f t="shared" si="123"/>
        <v>0</v>
      </c>
      <c r="S243" s="19">
        <f t="shared" si="123"/>
        <v>0</v>
      </c>
      <c r="T243" s="19"/>
    </row>
    <row r="244" spans="1:20" ht="29.25" x14ac:dyDescent="0.25">
      <c r="A244" s="13">
        <v>227</v>
      </c>
      <c r="B244" s="14" t="s">
        <v>24</v>
      </c>
      <c r="C244" s="19">
        <f t="shared" ref="C244:S244" si="124">C249</f>
        <v>0</v>
      </c>
      <c r="D244" s="19">
        <f t="shared" si="124"/>
        <v>0</v>
      </c>
      <c r="E244" s="19">
        <f t="shared" si="124"/>
        <v>0</v>
      </c>
      <c r="F244" s="19">
        <f t="shared" si="124"/>
        <v>0</v>
      </c>
      <c r="G244" s="19">
        <f t="shared" si="124"/>
        <v>0</v>
      </c>
      <c r="H244" s="19">
        <f t="shared" si="124"/>
        <v>0</v>
      </c>
      <c r="I244" s="19">
        <f t="shared" si="124"/>
        <v>0</v>
      </c>
      <c r="J244" s="19">
        <f t="shared" si="124"/>
        <v>0</v>
      </c>
      <c r="K244" s="19">
        <f t="shared" si="124"/>
        <v>0</v>
      </c>
      <c r="L244" s="19">
        <f t="shared" si="124"/>
        <v>0</v>
      </c>
      <c r="M244" s="19">
        <f t="shared" si="124"/>
        <v>0</v>
      </c>
      <c r="N244" s="19">
        <f t="shared" si="124"/>
        <v>0</v>
      </c>
      <c r="O244" s="19">
        <f t="shared" si="124"/>
        <v>0</v>
      </c>
      <c r="P244" s="19">
        <f t="shared" si="124"/>
        <v>0</v>
      </c>
      <c r="Q244" s="19">
        <f t="shared" si="124"/>
        <v>0</v>
      </c>
      <c r="R244" s="19">
        <f t="shared" si="124"/>
        <v>0</v>
      </c>
      <c r="S244" s="19">
        <f t="shared" si="124"/>
        <v>0</v>
      </c>
      <c r="T244" s="19"/>
    </row>
    <row r="245" spans="1:20" ht="15.75" customHeight="1" x14ac:dyDescent="0.25">
      <c r="A245" s="13">
        <v>228</v>
      </c>
      <c r="B245" s="41" t="s">
        <v>31</v>
      </c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</row>
    <row r="246" spans="1:20" ht="87" customHeight="1" x14ac:dyDescent="0.25">
      <c r="A246" s="13">
        <v>229</v>
      </c>
      <c r="B246" s="14" t="s">
        <v>32</v>
      </c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</row>
    <row r="247" spans="1:20" x14ac:dyDescent="0.25">
      <c r="A247" s="13">
        <v>230</v>
      </c>
      <c r="B247" s="14" t="s">
        <v>22</v>
      </c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</row>
    <row r="248" spans="1:20" x14ac:dyDescent="0.25">
      <c r="A248" s="13">
        <v>231</v>
      </c>
      <c r="B248" s="14" t="s">
        <v>23</v>
      </c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</row>
    <row r="249" spans="1:20" ht="29.25" x14ac:dyDescent="0.25">
      <c r="A249" s="13">
        <v>232</v>
      </c>
      <c r="B249" s="14" t="s">
        <v>24</v>
      </c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</row>
    <row r="250" spans="1:20" ht="15.75" customHeight="1" x14ac:dyDescent="0.25">
      <c r="A250" s="13">
        <v>233</v>
      </c>
      <c r="B250" s="41" t="s">
        <v>35</v>
      </c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</row>
    <row r="251" spans="1:20" ht="54.75" customHeight="1" x14ac:dyDescent="0.25">
      <c r="A251" s="13">
        <v>234</v>
      </c>
      <c r="B251" s="14" t="s">
        <v>36</v>
      </c>
      <c r="C251" s="19">
        <f t="shared" ref="C251:S251" si="125">C255</f>
        <v>703202.5</v>
      </c>
      <c r="D251" s="19">
        <f t="shared" si="125"/>
        <v>144100</v>
      </c>
      <c r="E251" s="19">
        <f t="shared" si="125"/>
        <v>240997.5</v>
      </c>
      <c r="F251" s="19">
        <f t="shared" si="125"/>
        <v>149900</v>
      </c>
      <c r="G251" s="19">
        <f t="shared" si="125"/>
        <v>168205</v>
      </c>
      <c r="H251" s="19">
        <f t="shared" si="125"/>
        <v>0</v>
      </c>
      <c r="I251" s="19">
        <f t="shared" si="125"/>
        <v>0</v>
      </c>
      <c r="J251" s="19">
        <f t="shared" si="125"/>
        <v>0</v>
      </c>
      <c r="K251" s="19">
        <f t="shared" si="125"/>
        <v>0</v>
      </c>
      <c r="L251" s="19">
        <f t="shared" si="125"/>
        <v>0</v>
      </c>
      <c r="M251" s="19">
        <f t="shared" si="125"/>
        <v>0</v>
      </c>
      <c r="N251" s="19">
        <f t="shared" si="125"/>
        <v>0</v>
      </c>
      <c r="O251" s="19">
        <f t="shared" si="125"/>
        <v>0</v>
      </c>
      <c r="P251" s="19">
        <f t="shared" si="125"/>
        <v>0</v>
      </c>
      <c r="Q251" s="19">
        <f t="shared" si="125"/>
        <v>0</v>
      </c>
      <c r="R251" s="19">
        <f t="shared" si="125"/>
        <v>0</v>
      </c>
      <c r="S251" s="19">
        <f t="shared" si="125"/>
        <v>0</v>
      </c>
      <c r="T251" s="15" t="s">
        <v>66</v>
      </c>
    </row>
    <row r="252" spans="1:20" x14ac:dyDescent="0.25">
      <c r="A252" s="13">
        <v>235</v>
      </c>
      <c r="B252" s="14" t="s">
        <v>22</v>
      </c>
      <c r="C252" s="19">
        <f t="shared" ref="C252:S252" si="126">C256</f>
        <v>138000</v>
      </c>
      <c r="D252" s="19">
        <f t="shared" si="126"/>
        <v>34100</v>
      </c>
      <c r="E252" s="19">
        <f t="shared" si="126"/>
        <v>16200</v>
      </c>
      <c r="F252" s="19">
        <f t="shared" si="126"/>
        <v>35800</v>
      </c>
      <c r="G252" s="19">
        <f t="shared" si="126"/>
        <v>51900</v>
      </c>
      <c r="H252" s="19">
        <f t="shared" si="126"/>
        <v>0</v>
      </c>
      <c r="I252" s="19">
        <f t="shared" si="126"/>
        <v>0</v>
      </c>
      <c r="J252" s="19">
        <f t="shared" si="126"/>
        <v>0</v>
      </c>
      <c r="K252" s="19">
        <f t="shared" si="126"/>
        <v>0</v>
      </c>
      <c r="L252" s="19">
        <f t="shared" si="126"/>
        <v>0</v>
      </c>
      <c r="M252" s="19">
        <f t="shared" si="126"/>
        <v>0</v>
      </c>
      <c r="N252" s="19">
        <f t="shared" si="126"/>
        <v>0</v>
      </c>
      <c r="O252" s="19">
        <f t="shared" si="126"/>
        <v>0</v>
      </c>
      <c r="P252" s="19">
        <f t="shared" si="126"/>
        <v>0</v>
      </c>
      <c r="Q252" s="19">
        <f t="shared" si="126"/>
        <v>0</v>
      </c>
      <c r="R252" s="19">
        <f t="shared" si="126"/>
        <v>0</v>
      </c>
      <c r="S252" s="19">
        <f t="shared" si="126"/>
        <v>0</v>
      </c>
      <c r="T252" s="19"/>
    </row>
    <row r="253" spans="1:20" x14ac:dyDescent="0.25">
      <c r="A253" s="13">
        <v>236</v>
      </c>
      <c r="B253" s="14" t="s">
        <v>23</v>
      </c>
      <c r="C253" s="19">
        <f t="shared" ref="C253:H253" si="127">C257</f>
        <v>392797.5</v>
      </c>
      <c r="D253" s="19">
        <f t="shared" si="127"/>
        <v>70000</v>
      </c>
      <c r="E253" s="19">
        <f t="shared" si="127"/>
        <v>182797.5</v>
      </c>
      <c r="F253" s="19">
        <f t="shared" si="127"/>
        <v>70000</v>
      </c>
      <c r="G253" s="19">
        <f t="shared" si="127"/>
        <v>70000</v>
      </c>
      <c r="H253" s="19">
        <f t="shared" si="127"/>
        <v>0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  <c r="N253" s="19">
        <v>0</v>
      </c>
      <c r="O253" s="19">
        <v>0</v>
      </c>
      <c r="P253" s="19">
        <v>0</v>
      </c>
      <c r="Q253" s="19">
        <v>0</v>
      </c>
      <c r="R253" s="19">
        <v>0</v>
      </c>
      <c r="S253" s="19">
        <v>0</v>
      </c>
      <c r="T253" s="19"/>
    </row>
    <row r="254" spans="1:20" ht="35.25" customHeight="1" x14ac:dyDescent="0.25">
      <c r="A254" s="13">
        <v>237</v>
      </c>
      <c r="B254" s="14" t="s">
        <v>24</v>
      </c>
      <c r="C254" s="19">
        <f>C258</f>
        <v>172405</v>
      </c>
      <c r="D254" s="19">
        <f>D258</f>
        <v>40000</v>
      </c>
      <c r="E254" s="19">
        <f>E258</f>
        <v>42000</v>
      </c>
      <c r="F254" s="19">
        <f>F258</f>
        <v>44100</v>
      </c>
      <c r="G254" s="19">
        <f>G258</f>
        <v>46305</v>
      </c>
      <c r="H254" s="19">
        <v>0</v>
      </c>
      <c r="I254" s="19">
        <v>0</v>
      </c>
      <c r="J254" s="19">
        <v>0</v>
      </c>
      <c r="K254" s="19">
        <f t="shared" ref="K254:S254" si="128">K258</f>
        <v>0</v>
      </c>
      <c r="L254" s="19">
        <f t="shared" si="128"/>
        <v>0</v>
      </c>
      <c r="M254" s="19">
        <f t="shared" si="128"/>
        <v>0</v>
      </c>
      <c r="N254" s="19">
        <f t="shared" si="128"/>
        <v>0</v>
      </c>
      <c r="O254" s="19">
        <f t="shared" si="128"/>
        <v>0</v>
      </c>
      <c r="P254" s="19">
        <f t="shared" si="128"/>
        <v>0</v>
      </c>
      <c r="Q254" s="19">
        <f t="shared" si="128"/>
        <v>0</v>
      </c>
      <c r="R254" s="19">
        <f t="shared" si="128"/>
        <v>0</v>
      </c>
      <c r="S254" s="19">
        <f t="shared" si="128"/>
        <v>0</v>
      </c>
      <c r="T254" s="19"/>
    </row>
    <row r="255" spans="1:20" ht="90" customHeight="1" x14ac:dyDescent="0.25">
      <c r="A255" s="13">
        <v>238</v>
      </c>
      <c r="B255" s="32" t="s">
        <v>119</v>
      </c>
      <c r="C255" s="19">
        <f>SUM(D255:S255)</f>
        <v>703202.5</v>
      </c>
      <c r="D255" s="19">
        <f t="shared" ref="D255:S255" si="129">SUM(D256:D258)</f>
        <v>144100</v>
      </c>
      <c r="E255" s="19">
        <f t="shared" si="129"/>
        <v>240997.5</v>
      </c>
      <c r="F255" s="19">
        <f t="shared" si="129"/>
        <v>149900</v>
      </c>
      <c r="G255" s="19">
        <f t="shared" si="129"/>
        <v>168205</v>
      </c>
      <c r="H255" s="19">
        <f t="shared" si="129"/>
        <v>0</v>
      </c>
      <c r="I255" s="19">
        <f t="shared" si="129"/>
        <v>0</v>
      </c>
      <c r="J255" s="19">
        <f t="shared" si="129"/>
        <v>0</v>
      </c>
      <c r="K255" s="19">
        <f t="shared" si="129"/>
        <v>0</v>
      </c>
      <c r="L255" s="19">
        <f t="shared" si="129"/>
        <v>0</v>
      </c>
      <c r="M255" s="19">
        <f t="shared" si="129"/>
        <v>0</v>
      </c>
      <c r="N255" s="19">
        <f t="shared" si="129"/>
        <v>0</v>
      </c>
      <c r="O255" s="19">
        <f t="shared" si="129"/>
        <v>0</v>
      </c>
      <c r="P255" s="19">
        <f t="shared" si="129"/>
        <v>0</v>
      </c>
      <c r="Q255" s="19">
        <f t="shared" si="129"/>
        <v>0</v>
      </c>
      <c r="R255" s="19">
        <f t="shared" si="129"/>
        <v>0</v>
      </c>
      <c r="S255" s="19">
        <f t="shared" si="129"/>
        <v>0</v>
      </c>
      <c r="T255" s="15" t="s">
        <v>66</v>
      </c>
    </row>
    <row r="256" spans="1:20" ht="15" customHeight="1" x14ac:dyDescent="0.25">
      <c r="A256" s="13">
        <v>239</v>
      </c>
      <c r="B256" s="14" t="s">
        <v>22</v>
      </c>
      <c r="C256" s="19">
        <f>SUM(D256:S256)</f>
        <v>138000</v>
      </c>
      <c r="D256" s="19">
        <v>34100</v>
      </c>
      <c r="E256" s="19">
        <v>16200</v>
      </c>
      <c r="F256" s="19">
        <v>35800</v>
      </c>
      <c r="G256" s="19">
        <f>51900</f>
        <v>51900</v>
      </c>
      <c r="H256" s="19">
        <v>0</v>
      </c>
      <c r="I256" s="19">
        <v>0</v>
      </c>
      <c r="J256" s="19">
        <v>0</v>
      </c>
      <c r="K256" s="19">
        <v>0</v>
      </c>
      <c r="L256" s="19">
        <v>0</v>
      </c>
      <c r="M256" s="19">
        <v>0</v>
      </c>
      <c r="N256" s="19">
        <v>0</v>
      </c>
      <c r="O256" s="19">
        <v>0</v>
      </c>
      <c r="P256" s="19">
        <v>0</v>
      </c>
      <c r="Q256" s="19">
        <v>0</v>
      </c>
      <c r="R256" s="19">
        <v>0</v>
      </c>
      <c r="S256" s="19">
        <v>0</v>
      </c>
      <c r="T256" s="15"/>
    </row>
    <row r="257" spans="1:23" ht="15" customHeight="1" x14ac:dyDescent="0.25">
      <c r="A257" s="13">
        <v>240</v>
      </c>
      <c r="B257" s="14" t="s">
        <v>23</v>
      </c>
      <c r="C257" s="19">
        <f>SUM(D257:S257)</f>
        <v>392797.5</v>
      </c>
      <c r="D257" s="22">
        <f>70000+43298.75-43298.75</f>
        <v>70000</v>
      </c>
      <c r="E257" s="22">
        <f>166597.5+16200</f>
        <v>182797.5</v>
      </c>
      <c r="F257" s="26">
        <v>70000</v>
      </c>
      <c r="G257" s="19">
        <v>70000</v>
      </c>
      <c r="H257" s="19">
        <f>70000-70000</f>
        <v>0</v>
      </c>
      <c r="I257" s="19">
        <v>0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19">
        <v>0</v>
      </c>
      <c r="T257" s="15"/>
    </row>
    <row r="258" spans="1:23" ht="30.6" customHeight="1" x14ac:dyDescent="0.25">
      <c r="A258" s="13">
        <v>241</v>
      </c>
      <c r="B258" s="14" t="s">
        <v>24</v>
      </c>
      <c r="C258" s="19">
        <f>SUM(D258:S258)</f>
        <v>172405</v>
      </c>
      <c r="D258" s="19">
        <v>40000</v>
      </c>
      <c r="E258" s="19">
        <f>D258*1.05</f>
        <v>42000</v>
      </c>
      <c r="F258" s="19">
        <f>E258*1.05</f>
        <v>44100</v>
      </c>
      <c r="G258" s="19">
        <f>F258*1.05</f>
        <v>46305</v>
      </c>
      <c r="H258" s="19">
        <v>0</v>
      </c>
      <c r="I258" s="19">
        <f>H258*1.05</f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21">
        <v>0</v>
      </c>
      <c r="S258" s="21">
        <v>0</v>
      </c>
      <c r="T258" s="15"/>
    </row>
    <row r="259" spans="1:23" ht="15.75" customHeight="1" x14ac:dyDescent="0.25">
      <c r="A259" s="13">
        <v>242</v>
      </c>
      <c r="B259" s="41" t="s">
        <v>138</v>
      </c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W259" s="7"/>
    </row>
    <row r="260" spans="1:23" ht="61.5" customHeight="1" x14ac:dyDescent="0.25">
      <c r="A260" s="13">
        <v>243</v>
      </c>
      <c r="B260" s="14" t="s">
        <v>67</v>
      </c>
      <c r="C260" s="19">
        <f t="shared" ref="C260:S260" si="130">C261+C262</f>
        <v>98845039.469999999</v>
      </c>
      <c r="D260" s="19">
        <f t="shared" si="130"/>
        <v>3803747.25</v>
      </c>
      <c r="E260" s="19">
        <f t="shared" si="130"/>
        <v>4235206.32</v>
      </c>
      <c r="F260" s="19">
        <f t="shared" si="130"/>
        <v>4175376.3800000008</v>
      </c>
      <c r="G260" s="19">
        <f t="shared" si="130"/>
        <v>4722970.63</v>
      </c>
      <c r="H260" s="19">
        <f t="shared" si="130"/>
        <v>5455911.5899999999</v>
      </c>
      <c r="I260" s="19">
        <f t="shared" si="130"/>
        <v>5631843.3399999999</v>
      </c>
      <c r="J260" s="19">
        <f t="shared" si="130"/>
        <v>6517310.6600000001</v>
      </c>
      <c r="K260" s="19">
        <f t="shared" si="130"/>
        <v>7182198.1499999994</v>
      </c>
      <c r="L260" s="19">
        <f t="shared" si="130"/>
        <v>8134661.7999999998</v>
      </c>
      <c r="M260" s="19">
        <f t="shared" si="130"/>
        <v>9161819.5300000012</v>
      </c>
      <c r="N260" s="19">
        <f t="shared" si="130"/>
        <v>8117517.2299999995</v>
      </c>
      <c r="O260" s="19">
        <f t="shared" si="130"/>
        <v>8117517.2299999995</v>
      </c>
      <c r="P260" s="19">
        <f t="shared" si="130"/>
        <v>5897239.8399999999</v>
      </c>
      <c r="Q260" s="19">
        <f t="shared" si="130"/>
        <v>5897239.8399999999</v>
      </c>
      <c r="R260" s="19">
        <f t="shared" si="130"/>
        <v>5897239.8399999999</v>
      </c>
      <c r="S260" s="19">
        <f t="shared" si="130"/>
        <v>5897239.8399999999</v>
      </c>
      <c r="T260" s="19" t="s">
        <v>68</v>
      </c>
    </row>
    <row r="261" spans="1:23" x14ac:dyDescent="0.25">
      <c r="A261" s="13">
        <v>244</v>
      </c>
      <c r="B261" s="14" t="s">
        <v>22</v>
      </c>
      <c r="C261" s="19">
        <f t="shared" ref="C261:S261" si="131">C266+C281</f>
        <v>255021.3</v>
      </c>
      <c r="D261" s="19">
        <f t="shared" si="131"/>
        <v>0</v>
      </c>
      <c r="E261" s="19">
        <f t="shared" si="131"/>
        <v>0</v>
      </c>
      <c r="F261" s="19">
        <f t="shared" si="131"/>
        <v>0</v>
      </c>
      <c r="G261" s="19">
        <f t="shared" si="131"/>
        <v>32467.42</v>
      </c>
      <c r="H261" s="19">
        <f t="shared" si="131"/>
        <v>0</v>
      </c>
      <c r="I261" s="19">
        <f t="shared" si="131"/>
        <v>0</v>
      </c>
      <c r="J261" s="19">
        <f t="shared" si="131"/>
        <v>0</v>
      </c>
      <c r="K261" s="19">
        <f t="shared" si="131"/>
        <v>10203.25</v>
      </c>
      <c r="L261" s="19">
        <f t="shared" si="131"/>
        <v>61078.47</v>
      </c>
      <c r="M261" s="19">
        <f>M266+M281</f>
        <v>151272.16</v>
      </c>
      <c r="N261" s="19">
        <f t="shared" si="131"/>
        <v>0</v>
      </c>
      <c r="O261" s="19">
        <f t="shared" si="131"/>
        <v>0</v>
      </c>
      <c r="P261" s="19">
        <f t="shared" si="131"/>
        <v>0</v>
      </c>
      <c r="Q261" s="19">
        <f t="shared" si="131"/>
        <v>0</v>
      </c>
      <c r="R261" s="19">
        <f t="shared" si="131"/>
        <v>0</v>
      </c>
      <c r="S261" s="19">
        <f t="shared" si="131"/>
        <v>0</v>
      </c>
      <c r="T261" s="19"/>
    </row>
    <row r="262" spans="1:23" x14ac:dyDescent="0.25">
      <c r="A262" s="13">
        <v>245</v>
      </c>
      <c r="B262" s="14" t="s">
        <v>23</v>
      </c>
      <c r="C262" s="19">
        <f t="shared" ref="C262:S262" si="132">C267+C282</f>
        <v>98590018.170000002</v>
      </c>
      <c r="D262" s="19">
        <f t="shared" si="132"/>
        <v>3803747.25</v>
      </c>
      <c r="E262" s="19">
        <f t="shared" si="132"/>
        <v>4235206.32</v>
      </c>
      <c r="F262" s="19">
        <f t="shared" si="132"/>
        <v>4175376.3800000008</v>
      </c>
      <c r="G262" s="19">
        <f t="shared" si="132"/>
        <v>4690503.21</v>
      </c>
      <c r="H262" s="19">
        <f t="shared" si="132"/>
        <v>5455911.5899999999</v>
      </c>
      <c r="I262" s="19">
        <f t="shared" si="132"/>
        <v>5631843.3399999999</v>
      </c>
      <c r="J262" s="19">
        <f t="shared" si="132"/>
        <v>6517310.6600000001</v>
      </c>
      <c r="K262" s="19">
        <f t="shared" si="132"/>
        <v>7171994.8999999994</v>
      </c>
      <c r="L262" s="19">
        <f t="shared" si="132"/>
        <v>8073583.3300000001</v>
      </c>
      <c r="M262" s="19">
        <f t="shared" si="132"/>
        <v>9010547.370000001</v>
      </c>
      <c r="N262" s="19">
        <f t="shared" si="132"/>
        <v>8117517.2299999995</v>
      </c>
      <c r="O262" s="19">
        <f t="shared" si="132"/>
        <v>8117517.2299999995</v>
      </c>
      <c r="P262" s="19">
        <f t="shared" si="132"/>
        <v>5897239.8399999999</v>
      </c>
      <c r="Q262" s="19">
        <f t="shared" si="132"/>
        <v>5897239.8399999999</v>
      </c>
      <c r="R262" s="19">
        <f t="shared" si="132"/>
        <v>5897239.8399999999</v>
      </c>
      <c r="S262" s="19">
        <f t="shared" si="132"/>
        <v>5897239.8399999999</v>
      </c>
      <c r="T262" s="19"/>
    </row>
    <row r="263" spans="1:23" ht="29.25" x14ac:dyDescent="0.25">
      <c r="A263" s="13">
        <v>246</v>
      </c>
      <c r="B263" s="14" t="s">
        <v>24</v>
      </c>
      <c r="C263" s="19">
        <f t="shared" ref="C263:S263" si="133">C268+C283</f>
        <v>0</v>
      </c>
      <c r="D263" s="19">
        <f t="shared" si="133"/>
        <v>0</v>
      </c>
      <c r="E263" s="19">
        <f t="shared" si="133"/>
        <v>0</v>
      </c>
      <c r="F263" s="19">
        <f t="shared" si="133"/>
        <v>0</v>
      </c>
      <c r="G263" s="19">
        <f t="shared" si="133"/>
        <v>0</v>
      </c>
      <c r="H263" s="19">
        <f t="shared" si="133"/>
        <v>0</v>
      </c>
      <c r="I263" s="19">
        <f t="shared" si="133"/>
        <v>0</v>
      </c>
      <c r="J263" s="19">
        <f t="shared" si="133"/>
        <v>0</v>
      </c>
      <c r="K263" s="19">
        <f t="shared" si="133"/>
        <v>0</v>
      </c>
      <c r="L263" s="19">
        <f t="shared" si="133"/>
        <v>0</v>
      </c>
      <c r="M263" s="19">
        <f t="shared" si="133"/>
        <v>0</v>
      </c>
      <c r="N263" s="19">
        <f t="shared" si="133"/>
        <v>0</v>
      </c>
      <c r="O263" s="19">
        <f t="shared" si="133"/>
        <v>0</v>
      </c>
      <c r="P263" s="19">
        <f t="shared" si="133"/>
        <v>0</v>
      </c>
      <c r="Q263" s="19">
        <f t="shared" si="133"/>
        <v>0</v>
      </c>
      <c r="R263" s="19">
        <f t="shared" si="133"/>
        <v>0</v>
      </c>
      <c r="S263" s="19">
        <f t="shared" si="133"/>
        <v>0</v>
      </c>
      <c r="T263" s="19"/>
    </row>
    <row r="264" spans="1:23" ht="15.75" customHeight="1" x14ac:dyDescent="0.25">
      <c r="A264" s="13">
        <v>247</v>
      </c>
      <c r="B264" s="41" t="s">
        <v>29</v>
      </c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</row>
    <row r="265" spans="1:23" ht="72" x14ac:dyDescent="0.25">
      <c r="A265" s="13">
        <v>248</v>
      </c>
      <c r="B265" s="14" t="s">
        <v>30</v>
      </c>
      <c r="C265" s="19">
        <f t="shared" ref="C265:S265" si="134">C270+C275</f>
        <v>0</v>
      </c>
      <c r="D265" s="19">
        <f t="shared" si="134"/>
        <v>0</v>
      </c>
      <c r="E265" s="19">
        <f t="shared" si="134"/>
        <v>0</v>
      </c>
      <c r="F265" s="19">
        <f t="shared" si="134"/>
        <v>0</v>
      </c>
      <c r="G265" s="19">
        <f t="shared" si="134"/>
        <v>0</v>
      </c>
      <c r="H265" s="19">
        <f t="shared" si="134"/>
        <v>0</v>
      </c>
      <c r="I265" s="19">
        <f t="shared" si="134"/>
        <v>0</v>
      </c>
      <c r="J265" s="19">
        <f t="shared" si="134"/>
        <v>0</v>
      </c>
      <c r="K265" s="19">
        <f t="shared" si="134"/>
        <v>0</v>
      </c>
      <c r="L265" s="19">
        <f t="shared" si="134"/>
        <v>0</v>
      </c>
      <c r="M265" s="19">
        <f t="shared" si="134"/>
        <v>0</v>
      </c>
      <c r="N265" s="19">
        <f t="shared" si="134"/>
        <v>0</v>
      </c>
      <c r="O265" s="19">
        <f t="shared" si="134"/>
        <v>0</v>
      </c>
      <c r="P265" s="19">
        <f t="shared" si="134"/>
        <v>0</v>
      </c>
      <c r="Q265" s="19">
        <f t="shared" si="134"/>
        <v>0</v>
      </c>
      <c r="R265" s="19">
        <f t="shared" si="134"/>
        <v>0</v>
      </c>
      <c r="S265" s="19">
        <f t="shared" si="134"/>
        <v>0</v>
      </c>
      <c r="T265" s="19"/>
    </row>
    <row r="266" spans="1:23" x14ac:dyDescent="0.25">
      <c r="A266" s="13">
        <v>249</v>
      </c>
      <c r="B266" s="14" t="s">
        <v>22</v>
      </c>
      <c r="C266" s="19">
        <f t="shared" ref="C266:I268" si="135">C271+C276</f>
        <v>0</v>
      </c>
      <c r="D266" s="19">
        <f t="shared" si="135"/>
        <v>0</v>
      </c>
      <c r="E266" s="19">
        <f t="shared" si="135"/>
        <v>0</v>
      </c>
      <c r="F266" s="19">
        <f t="shared" si="135"/>
        <v>0</v>
      </c>
      <c r="G266" s="19">
        <f t="shared" si="135"/>
        <v>0</v>
      </c>
      <c r="H266" s="19">
        <f t="shared" si="135"/>
        <v>0</v>
      </c>
      <c r="I266" s="19">
        <f t="shared" si="135"/>
        <v>0</v>
      </c>
      <c r="J266" s="19">
        <v>0</v>
      </c>
      <c r="K266" s="19">
        <v>0</v>
      </c>
      <c r="L266" s="19">
        <v>0</v>
      </c>
      <c r="M266" s="19">
        <v>0</v>
      </c>
      <c r="N266" s="19">
        <v>0</v>
      </c>
      <c r="O266" s="19">
        <v>0</v>
      </c>
      <c r="P266" s="19">
        <v>0</v>
      </c>
      <c r="Q266" s="19">
        <v>0</v>
      </c>
      <c r="R266" s="19">
        <f t="shared" ref="R266:S268" si="136">R271+R276</f>
        <v>0</v>
      </c>
      <c r="S266" s="19">
        <f t="shared" si="136"/>
        <v>0</v>
      </c>
      <c r="T266" s="19"/>
    </row>
    <row r="267" spans="1:23" x14ac:dyDescent="0.25">
      <c r="A267" s="13">
        <v>250</v>
      </c>
      <c r="B267" s="14" t="s">
        <v>23</v>
      </c>
      <c r="C267" s="19">
        <f t="shared" si="135"/>
        <v>0</v>
      </c>
      <c r="D267" s="19">
        <f t="shared" si="135"/>
        <v>0</v>
      </c>
      <c r="E267" s="19">
        <f t="shared" si="135"/>
        <v>0</v>
      </c>
      <c r="F267" s="19">
        <f t="shared" si="135"/>
        <v>0</v>
      </c>
      <c r="G267" s="19">
        <f t="shared" si="135"/>
        <v>0</v>
      </c>
      <c r="H267" s="19">
        <f t="shared" si="135"/>
        <v>0</v>
      </c>
      <c r="I267" s="19">
        <f t="shared" si="135"/>
        <v>0</v>
      </c>
      <c r="J267" s="19">
        <v>0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f t="shared" si="136"/>
        <v>0</v>
      </c>
      <c r="S267" s="19">
        <f t="shared" si="136"/>
        <v>0</v>
      </c>
      <c r="T267" s="19"/>
    </row>
    <row r="268" spans="1:23" ht="29.25" x14ac:dyDescent="0.25">
      <c r="A268" s="13">
        <v>251</v>
      </c>
      <c r="B268" s="14" t="s">
        <v>24</v>
      </c>
      <c r="C268" s="19">
        <f t="shared" si="135"/>
        <v>0</v>
      </c>
      <c r="D268" s="19">
        <f t="shared" si="135"/>
        <v>0</v>
      </c>
      <c r="E268" s="19">
        <f t="shared" si="135"/>
        <v>0</v>
      </c>
      <c r="F268" s="19">
        <f t="shared" si="135"/>
        <v>0</v>
      </c>
      <c r="G268" s="19">
        <f t="shared" si="135"/>
        <v>0</v>
      </c>
      <c r="H268" s="19">
        <f t="shared" si="135"/>
        <v>0</v>
      </c>
      <c r="I268" s="19">
        <f t="shared" si="135"/>
        <v>0</v>
      </c>
      <c r="J268" s="19">
        <v>0</v>
      </c>
      <c r="K268" s="19">
        <v>0</v>
      </c>
      <c r="L268" s="19"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f t="shared" si="136"/>
        <v>0</v>
      </c>
      <c r="S268" s="19">
        <f t="shared" si="136"/>
        <v>0</v>
      </c>
      <c r="T268" s="19"/>
    </row>
    <row r="269" spans="1:23" ht="15.75" customHeight="1" x14ac:dyDescent="0.25">
      <c r="A269" s="13">
        <v>252</v>
      </c>
      <c r="B269" s="41" t="s">
        <v>31</v>
      </c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</row>
    <row r="270" spans="1:23" ht="86.25" x14ac:dyDescent="0.25">
      <c r="A270" s="13">
        <v>253</v>
      </c>
      <c r="B270" s="14" t="s">
        <v>32</v>
      </c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</row>
    <row r="271" spans="1:23" x14ac:dyDescent="0.25">
      <c r="A271" s="13">
        <v>254</v>
      </c>
      <c r="B271" s="14" t="s">
        <v>22</v>
      </c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</row>
    <row r="272" spans="1:23" x14ac:dyDescent="0.25">
      <c r="A272" s="13">
        <v>255</v>
      </c>
      <c r="B272" s="14" t="s">
        <v>23</v>
      </c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</row>
    <row r="273" spans="1:20" ht="29.25" x14ac:dyDescent="0.25">
      <c r="A273" s="13">
        <v>256</v>
      </c>
      <c r="B273" s="14" t="s">
        <v>24</v>
      </c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</row>
    <row r="274" spans="1:20" ht="15.75" customHeight="1" x14ac:dyDescent="0.25">
      <c r="A274" s="13">
        <v>257</v>
      </c>
      <c r="B274" s="41" t="s">
        <v>33</v>
      </c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</row>
    <row r="275" spans="1:20" ht="48.4" customHeight="1" x14ac:dyDescent="0.25">
      <c r="A275" s="13">
        <v>258</v>
      </c>
      <c r="B275" s="14" t="s">
        <v>69</v>
      </c>
      <c r="C275" s="19">
        <f>SUM(D275:I275)</f>
        <v>0</v>
      </c>
      <c r="D275" s="19">
        <f t="shared" ref="D275:S275" si="137">SUM(D276:D278)</f>
        <v>0</v>
      </c>
      <c r="E275" s="19">
        <f t="shared" si="137"/>
        <v>0</v>
      </c>
      <c r="F275" s="19">
        <f t="shared" si="137"/>
        <v>0</v>
      </c>
      <c r="G275" s="19">
        <f t="shared" si="137"/>
        <v>0</v>
      </c>
      <c r="H275" s="19">
        <f t="shared" si="137"/>
        <v>0</v>
      </c>
      <c r="I275" s="19">
        <f t="shared" si="137"/>
        <v>0</v>
      </c>
      <c r="J275" s="19">
        <f t="shared" si="137"/>
        <v>0</v>
      </c>
      <c r="K275" s="19">
        <f t="shared" si="137"/>
        <v>0</v>
      </c>
      <c r="L275" s="19">
        <f t="shared" si="137"/>
        <v>0</v>
      </c>
      <c r="M275" s="19">
        <f t="shared" si="137"/>
        <v>0</v>
      </c>
      <c r="N275" s="19">
        <f t="shared" si="137"/>
        <v>0</v>
      </c>
      <c r="O275" s="19">
        <f t="shared" si="137"/>
        <v>0</v>
      </c>
      <c r="P275" s="19">
        <f t="shared" si="137"/>
        <v>0</v>
      </c>
      <c r="Q275" s="19">
        <f t="shared" si="137"/>
        <v>0</v>
      </c>
      <c r="R275" s="19">
        <f t="shared" si="137"/>
        <v>0</v>
      </c>
      <c r="S275" s="19">
        <f t="shared" si="137"/>
        <v>0</v>
      </c>
      <c r="T275" s="19"/>
    </row>
    <row r="276" spans="1:20" x14ac:dyDescent="0.25">
      <c r="A276" s="13">
        <v>259</v>
      </c>
      <c r="B276" s="14" t="s">
        <v>22</v>
      </c>
      <c r="C276" s="19">
        <v>0</v>
      </c>
      <c r="D276" s="19">
        <v>0</v>
      </c>
      <c r="E276" s="19"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/>
    </row>
    <row r="277" spans="1:20" x14ac:dyDescent="0.25">
      <c r="A277" s="13">
        <v>260</v>
      </c>
      <c r="B277" s="14" t="s">
        <v>23</v>
      </c>
      <c r="C277" s="19">
        <f>SUM(D277:I277)</f>
        <v>0</v>
      </c>
      <c r="D277" s="19">
        <v>0</v>
      </c>
      <c r="E277" s="19">
        <f t="shared" ref="E277:I278" si="138">D277*1.05</f>
        <v>0</v>
      </c>
      <c r="F277" s="19">
        <f t="shared" si="138"/>
        <v>0</v>
      </c>
      <c r="G277" s="19">
        <f t="shared" si="138"/>
        <v>0</v>
      </c>
      <c r="H277" s="19">
        <f t="shared" si="138"/>
        <v>0</v>
      </c>
      <c r="I277" s="19">
        <f t="shared" si="138"/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/>
    </row>
    <row r="278" spans="1:20" ht="29.25" x14ac:dyDescent="0.25">
      <c r="A278" s="13">
        <v>261</v>
      </c>
      <c r="B278" s="14" t="s">
        <v>24</v>
      </c>
      <c r="C278" s="19">
        <f>SUM(D278:I278)</f>
        <v>0</v>
      </c>
      <c r="D278" s="19">
        <v>0</v>
      </c>
      <c r="E278" s="19">
        <f t="shared" si="138"/>
        <v>0</v>
      </c>
      <c r="F278" s="19">
        <f t="shared" si="138"/>
        <v>0</v>
      </c>
      <c r="G278" s="19">
        <f t="shared" si="138"/>
        <v>0</v>
      </c>
      <c r="H278" s="19">
        <f t="shared" si="138"/>
        <v>0</v>
      </c>
      <c r="I278" s="19">
        <f t="shared" si="138"/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/>
    </row>
    <row r="279" spans="1:20" ht="15.75" customHeight="1" x14ac:dyDescent="0.25">
      <c r="A279" s="13">
        <v>262</v>
      </c>
      <c r="B279" s="41" t="s">
        <v>35</v>
      </c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</row>
    <row r="280" spans="1:20" ht="60.75" customHeight="1" x14ac:dyDescent="0.25">
      <c r="A280" s="13">
        <v>263</v>
      </c>
      <c r="B280" s="14" t="s">
        <v>36</v>
      </c>
      <c r="C280" s="19">
        <f>C282+C281</f>
        <v>98845039.469999999</v>
      </c>
      <c r="D280" s="19">
        <f>D282</f>
        <v>3803747.25</v>
      </c>
      <c r="E280" s="19">
        <f>E282</f>
        <v>4235206.32</v>
      </c>
      <c r="F280" s="19">
        <f>F282+F281</f>
        <v>4175376.3800000008</v>
      </c>
      <c r="G280" s="19">
        <f>G282+G281</f>
        <v>4722970.63</v>
      </c>
      <c r="H280" s="19">
        <f>H282</f>
        <v>5455911.5899999999</v>
      </c>
      <c r="I280" s="19">
        <f>I282</f>
        <v>5631843.3399999999</v>
      </c>
      <c r="J280" s="19">
        <f>J282</f>
        <v>6517310.6600000001</v>
      </c>
      <c r="K280" s="19">
        <f t="shared" ref="K280:S280" si="139">K282+K281</f>
        <v>7182198.1499999994</v>
      </c>
      <c r="L280" s="19">
        <f t="shared" si="139"/>
        <v>8134661.7999999998</v>
      </c>
      <c r="M280" s="19">
        <f t="shared" si="139"/>
        <v>9161819.5300000012</v>
      </c>
      <c r="N280" s="19">
        <f t="shared" si="139"/>
        <v>8117517.2299999995</v>
      </c>
      <c r="O280" s="19">
        <f t="shared" si="139"/>
        <v>8117517.2299999995</v>
      </c>
      <c r="P280" s="19">
        <f t="shared" si="139"/>
        <v>5897239.8399999999</v>
      </c>
      <c r="Q280" s="19">
        <f t="shared" si="139"/>
        <v>5897239.8399999999</v>
      </c>
      <c r="R280" s="19">
        <f t="shared" si="139"/>
        <v>5897239.8399999999</v>
      </c>
      <c r="S280" s="19">
        <f t="shared" si="139"/>
        <v>5897239.8399999999</v>
      </c>
      <c r="T280" s="19" t="s">
        <v>70</v>
      </c>
    </row>
    <row r="281" spans="1:20" x14ac:dyDescent="0.25">
      <c r="A281" s="13">
        <v>264</v>
      </c>
      <c r="B281" s="14" t="s">
        <v>22</v>
      </c>
      <c r="C281" s="19">
        <f>SUM(D281:S281)</f>
        <v>255021.3</v>
      </c>
      <c r="D281" s="19">
        <f>D285</f>
        <v>0</v>
      </c>
      <c r="E281" s="19">
        <f>E285</f>
        <v>0</v>
      </c>
      <c r="F281" s="19">
        <f t="shared" ref="F281:J282" si="140">F285+F291</f>
        <v>0</v>
      </c>
      <c r="G281" s="19">
        <f t="shared" si="140"/>
        <v>32467.42</v>
      </c>
      <c r="H281" s="19">
        <f t="shared" si="140"/>
        <v>0</v>
      </c>
      <c r="I281" s="19">
        <f t="shared" si="140"/>
        <v>0</v>
      </c>
      <c r="J281" s="19">
        <f t="shared" si="140"/>
        <v>0</v>
      </c>
      <c r="K281" s="19">
        <f>K295</f>
        <v>10203.25</v>
      </c>
      <c r="L281" s="19">
        <f>L295+L289</f>
        <v>61078.47</v>
      </c>
      <c r="M281" s="19">
        <f>M295+M289</f>
        <v>151272.16</v>
      </c>
      <c r="N281" s="19">
        <f t="shared" ref="N281:S281" si="141">N295</f>
        <v>0</v>
      </c>
      <c r="O281" s="19">
        <f t="shared" si="141"/>
        <v>0</v>
      </c>
      <c r="P281" s="19">
        <f t="shared" si="141"/>
        <v>0</v>
      </c>
      <c r="Q281" s="19">
        <f t="shared" si="141"/>
        <v>0</v>
      </c>
      <c r="R281" s="19">
        <f t="shared" si="141"/>
        <v>0</v>
      </c>
      <c r="S281" s="19">
        <f t="shared" si="141"/>
        <v>0</v>
      </c>
      <c r="T281" s="19"/>
    </row>
    <row r="282" spans="1:20" x14ac:dyDescent="0.25">
      <c r="A282" s="13">
        <v>265</v>
      </c>
      <c r="B282" s="14" t="s">
        <v>23</v>
      </c>
      <c r="C282" s="19">
        <f>SUM(D282:S282)</f>
        <v>98590018.170000002</v>
      </c>
      <c r="D282" s="19">
        <f>D286+D292</f>
        <v>3803747.25</v>
      </c>
      <c r="E282" s="19">
        <f>E286+E292</f>
        <v>4235206.32</v>
      </c>
      <c r="F282" s="19">
        <f t="shared" si="140"/>
        <v>4175376.3800000008</v>
      </c>
      <c r="G282" s="19">
        <f t="shared" si="140"/>
        <v>4690503.21</v>
      </c>
      <c r="H282" s="19">
        <f t="shared" si="140"/>
        <v>5455911.5899999999</v>
      </c>
      <c r="I282" s="19">
        <f t="shared" si="140"/>
        <v>5631843.3399999999</v>
      </c>
      <c r="J282" s="19">
        <f t="shared" si="140"/>
        <v>6517310.6600000001</v>
      </c>
      <c r="K282" s="19">
        <f t="shared" ref="K282:S282" si="142">K286+K292</f>
        <v>7171994.8999999994</v>
      </c>
      <c r="L282" s="19">
        <f t="shared" si="142"/>
        <v>8073583.3300000001</v>
      </c>
      <c r="M282" s="19">
        <f>M286+M292+M297</f>
        <v>9010547.370000001</v>
      </c>
      <c r="N282" s="19">
        <f>N286+N292+N297</f>
        <v>8117517.2299999995</v>
      </c>
      <c r="O282" s="19">
        <f t="shared" si="142"/>
        <v>8117517.2299999995</v>
      </c>
      <c r="P282" s="19">
        <f t="shared" si="142"/>
        <v>5897239.8399999999</v>
      </c>
      <c r="Q282" s="19">
        <f t="shared" si="142"/>
        <v>5897239.8399999999</v>
      </c>
      <c r="R282" s="19">
        <f t="shared" si="142"/>
        <v>5897239.8399999999</v>
      </c>
      <c r="S282" s="19">
        <f t="shared" si="142"/>
        <v>5897239.8399999999</v>
      </c>
      <c r="T282" s="19"/>
    </row>
    <row r="283" spans="1:20" ht="29.25" x14ac:dyDescent="0.25">
      <c r="A283" s="13">
        <v>266</v>
      </c>
      <c r="B283" s="14" t="s">
        <v>24</v>
      </c>
      <c r="C283" s="19">
        <f>SUM(D283:Q283)</f>
        <v>0</v>
      </c>
      <c r="D283" s="19">
        <f>D287</f>
        <v>0</v>
      </c>
      <c r="E283" s="19">
        <f>E287</f>
        <v>0</v>
      </c>
      <c r="F283" s="19">
        <f>F287</f>
        <v>0</v>
      </c>
      <c r="G283" s="19">
        <f>G287+G293</f>
        <v>0</v>
      </c>
      <c r="H283" s="19">
        <f>H287+H293</f>
        <v>0</v>
      </c>
      <c r="I283" s="19">
        <f>I287+I293</f>
        <v>0</v>
      </c>
      <c r="J283" s="19">
        <f>J287+J293</f>
        <v>0</v>
      </c>
      <c r="K283" s="19">
        <f t="shared" ref="K283:S283" si="143">K287+K293</f>
        <v>0</v>
      </c>
      <c r="L283" s="19">
        <f t="shared" si="143"/>
        <v>0</v>
      </c>
      <c r="M283" s="19">
        <f t="shared" si="143"/>
        <v>0</v>
      </c>
      <c r="N283" s="19">
        <f t="shared" si="143"/>
        <v>0</v>
      </c>
      <c r="O283" s="19">
        <f t="shared" si="143"/>
        <v>0</v>
      </c>
      <c r="P283" s="19">
        <f t="shared" si="143"/>
        <v>0</v>
      </c>
      <c r="Q283" s="19">
        <f t="shared" si="143"/>
        <v>0</v>
      </c>
      <c r="R283" s="19">
        <f t="shared" si="143"/>
        <v>0</v>
      </c>
      <c r="S283" s="19">
        <f t="shared" si="143"/>
        <v>0</v>
      </c>
      <c r="T283" s="19"/>
    </row>
    <row r="284" spans="1:20" ht="146.25" customHeight="1" x14ac:dyDescent="0.25">
      <c r="A284" s="13">
        <v>267</v>
      </c>
      <c r="B284" s="32" t="s">
        <v>120</v>
      </c>
      <c r="C284" s="19">
        <f>C285+C286+C287</f>
        <v>21665678.100000005</v>
      </c>
      <c r="D284" s="19">
        <f t="shared" ref="D284:S284" si="144">SUM(D285:D287)</f>
        <v>971429.24</v>
      </c>
      <c r="E284" s="19">
        <f t="shared" si="144"/>
        <v>1049324.1200000001</v>
      </c>
      <c r="F284" s="19">
        <f t="shared" si="144"/>
        <v>931952.99</v>
      </c>
      <c r="G284" s="19">
        <f t="shared" si="144"/>
        <v>1164249.82</v>
      </c>
      <c r="H284" s="19">
        <f t="shared" si="144"/>
        <v>1262149.79</v>
      </c>
      <c r="I284" s="19">
        <f t="shared" si="144"/>
        <v>1252591.77</v>
      </c>
      <c r="J284" s="19">
        <f t="shared" si="144"/>
        <v>1285414.23</v>
      </c>
      <c r="K284" s="19">
        <f t="shared" si="144"/>
        <v>1247720.18</v>
      </c>
      <c r="L284" s="19">
        <f t="shared" si="144"/>
        <v>1532059.69</v>
      </c>
      <c r="M284" s="19">
        <f t="shared" si="144"/>
        <v>1969934.9699999997</v>
      </c>
      <c r="N284" s="19">
        <f t="shared" si="144"/>
        <v>1499808.5499999998</v>
      </c>
      <c r="O284" s="19">
        <f t="shared" si="144"/>
        <v>1499808.5499999998</v>
      </c>
      <c r="P284" s="19">
        <f t="shared" si="144"/>
        <v>1499808.5499999998</v>
      </c>
      <c r="Q284" s="19">
        <f t="shared" si="144"/>
        <v>1499808.5499999998</v>
      </c>
      <c r="R284" s="19">
        <f t="shared" si="144"/>
        <v>1499808.5499999998</v>
      </c>
      <c r="S284" s="19">
        <f t="shared" si="144"/>
        <v>1499808.5499999998</v>
      </c>
      <c r="T284" s="19" t="s">
        <v>71</v>
      </c>
    </row>
    <row r="285" spans="1:20" x14ac:dyDescent="0.25">
      <c r="A285" s="13">
        <v>268</v>
      </c>
      <c r="B285" s="14" t="s">
        <v>22</v>
      </c>
      <c r="C285" s="19">
        <f t="shared" ref="C285:C297" si="145">SUM(D285:S285)</f>
        <v>0</v>
      </c>
      <c r="D285" s="19">
        <v>0</v>
      </c>
      <c r="E285" s="19">
        <v>0</v>
      </c>
      <c r="F285" s="19">
        <v>0</v>
      </c>
      <c r="G285" s="19">
        <v>0</v>
      </c>
      <c r="H285" s="19">
        <v>0</v>
      </c>
      <c r="I285" s="19">
        <v>0</v>
      </c>
      <c r="J285" s="19">
        <f t="shared" ref="J285:Q285" si="146">I285*1.05</f>
        <v>0</v>
      </c>
      <c r="K285" s="19">
        <f t="shared" si="146"/>
        <v>0</v>
      </c>
      <c r="L285" s="19">
        <f t="shared" si="146"/>
        <v>0</v>
      </c>
      <c r="M285" s="19">
        <f t="shared" si="146"/>
        <v>0</v>
      </c>
      <c r="N285" s="19">
        <f t="shared" si="146"/>
        <v>0</v>
      </c>
      <c r="O285" s="19">
        <f t="shared" si="146"/>
        <v>0</v>
      </c>
      <c r="P285" s="19">
        <f t="shared" si="146"/>
        <v>0</v>
      </c>
      <c r="Q285" s="19">
        <f t="shared" si="146"/>
        <v>0</v>
      </c>
      <c r="R285" s="19">
        <v>0</v>
      </c>
      <c r="S285" s="19">
        <v>0</v>
      </c>
      <c r="T285" s="19"/>
    </row>
    <row r="286" spans="1:20" x14ac:dyDescent="0.25">
      <c r="A286" s="13">
        <v>269</v>
      </c>
      <c r="B286" s="14" t="s">
        <v>23</v>
      </c>
      <c r="C286" s="19">
        <f t="shared" si="145"/>
        <v>21665678.100000005</v>
      </c>
      <c r="D286" s="19">
        <f>929146-172909.89+85092.46+130100.67</f>
        <v>971429.24</v>
      </c>
      <c r="E286" s="22">
        <v>1049324.1200000001</v>
      </c>
      <c r="F286" s="19">
        <f>929146-7357.39-105851+98992.45+17022.93</f>
        <v>931952.99</v>
      </c>
      <c r="G286" s="19">
        <v>1164249.82</v>
      </c>
      <c r="H286" s="19">
        <f>1069117+70103.73+122929.06</f>
        <v>1262149.79</v>
      </c>
      <c r="I286" s="19">
        <f>1122510+148645.55-5500.05-9791.33-3272.4</f>
        <v>1252591.77</v>
      </c>
      <c r="J286" s="19">
        <f>1128635+123220.9+33558.33</f>
        <v>1285414.23</v>
      </c>
      <c r="K286" s="19">
        <v>1247720.18</v>
      </c>
      <c r="L286" s="19">
        <f>1153337.57+378722.12</f>
        <v>1532059.69</v>
      </c>
      <c r="M286" s="19">
        <f>1371457.69+368631.38+229845.9</f>
        <v>1969934.9699999997</v>
      </c>
      <c r="N286" s="19">
        <f>1148086.44+5000+346722.11</f>
        <v>1499808.5499999998</v>
      </c>
      <c r="O286" s="19">
        <f t="shared" ref="O286:S286" si="147">1148086.44+5000+346722.11</f>
        <v>1499808.5499999998</v>
      </c>
      <c r="P286" s="19">
        <f t="shared" si="147"/>
        <v>1499808.5499999998</v>
      </c>
      <c r="Q286" s="19">
        <f t="shared" si="147"/>
        <v>1499808.5499999998</v>
      </c>
      <c r="R286" s="19">
        <f t="shared" si="147"/>
        <v>1499808.5499999998</v>
      </c>
      <c r="S286" s="19">
        <f t="shared" si="147"/>
        <v>1499808.5499999998</v>
      </c>
      <c r="T286" s="19"/>
    </row>
    <row r="287" spans="1:20" ht="29.25" x14ac:dyDescent="0.25">
      <c r="A287" s="13">
        <v>270</v>
      </c>
      <c r="B287" s="14" t="s">
        <v>24</v>
      </c>
      <c r="C287" s="19">
        <f t="shared" si="145"/>
        <v>0</v>
      </c>
      <c r="D287" s="19">
        <v>0</v>
      </c>
      <c r="E287" s="19">
        <f t="shared" ref="E287:Q287" si="148">D287*1.05</f>
        <v>0</v>
      </c>
      <c r="F287" s="19">
        <f t="shared" si="148"/>
        <v>0</v>
      </c>
      <c r="G287" s="19">
        <f t="shared" si="148"/>
        <v>0</v>
      </c>
      <c r="H287" s="19">
        <f t="shared" si="148"/>
        <v>0</v>
      </c>
      <c r="I287" s="19">
        <f t="shared" si="148"/>
        <v>0</v>
      </c>
      <c r="J287" s="19">
        <f t="shared" si="148"/>
        <v>0</v>
      </c>
      <c r="K287" s="19">
        <f t="shared" si="148"/>
        <v>0</v>
      </c>
      <c r="L287" s="19">
        <f t="shared" si="148"/>
        <v>0</v>
      </c>
      <c r="M287" s="19">
        <f t="shared" si="148"/>
        <v>0</v>
      </c>
      <c r="N287" s="19">
        <f t="shared" si="148"/>
        <v>0</v>
      </c>
      <c r="O287" s="19">
        <f t="shared" si="148"/>
        <v>0</v>
      </c>
      <c r="P287" s="19">
        <f t="shared" si="148"/>
        <v>0</v>
      </c>
      <c r="Q287" s="19">
        <f t="shared" si="148"/>
        <v>0</v>
      </c>
      <c r="R287" s="19"/>
      <c r="S287" s="19"/>
      <c r="T287" s="19"/>
    </row>
    <row r="288" spans="1:20" ht="399.75" customHeight="1" x14ac:dyDescent="0.25">
      <c r="A288" s="13">
        <v>271</v>
      </c>
      <c r="B288" s="32" t="s">
        <v>121</v>
      </c>
      <c r="C288" s="19">
        <f t="shared" si="145"/>
        <v>36416.620000000003</v>
      </c>
      <c r="D288" s="19"/>
      <c r="E288" s="19"/>
      <c r="F288" s="19"/>
      <c r="G288" s="19"/>
      <c r="H288" s="19"/>
      <c r="I288" s="19"/>
      <c r="J288" s="19"/>
      <c r="K288" s="19"/>
      <c r="L288" s="19">
        <f t="shared" ref="L288:S288" si="149">L289</f>
        <v>6424.7800000000007</v>
      </c>
      <c r="M288" s="19">
        <f t="shared" si="149"/>
        <v>29991.84</v>
      </c>
      <c r="N288" s="19">
        <f t="shared" si="149"/>
        <v>0</v>
      </c>
      <c r="O288" s="19">
        <f t="shared" si="149"/>
        <v>0</v>
      </c>
      <c r="P288" s="19">
        <f t="shared" si="149"/>
        <v>0</v>
      </c>
      <c r="Q288" s="19">
        <f t="shared" si="149"/>
        <v>0</v>
      </c>
      <c r="R288" s="19">
        <f t="shared" si="149"/>
        <v>0</v>
      </c>
      <c r="S288" s="19">
        <f t="shared" si="149"/>
        <v>0</v>
      </c>
      <c r="T288" s="19" t="s">
        <v>72</v>
      </c>
    </row>
    <row r="289" spans="1:20" x14ac:dyDescent="0.25">
      <c r="A289" s="13">
        <v>272</v>
      </c>
      <c r="B289" s="14" t="s">
        <v>22</v>
      </c>
      <c r="C289" s="19">
        <f t="shared" si="145"/>
        <v>36416.620000000003</v>
      </c>
      <c r="D289" s="19"/>
      <c r="E289" s="19"/>
      <c r="F289" s="19"/>
      <c r="G289" s="19"/>
      <c r="H289" s="19"/>
      <c r="I289" s="19"/>
      <c r="J289" s="19"/>
      <c r="K289" s="19"/>
      <c r="L289" s="19">
        <f>13227.19-5224.59-1577.82</f>
        <v>6424.7800000000007</v>
      </c>
      <c r="M289" s="19">
        <v>29991.84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/>
    </row>
    <row r="290" spans="1:20" ht="312" customHeight="1" x14ac:dyDescent="0.25">
      <c r="A290" s="13">
        <v>273</v>
      </c>
      <c r="B290" s="32" t="s">
        <v>122</v>
      </c>
      <c r="C290" s="19">
        <f t="shared" si="145"/>
        <v>76906807.49000001</v>
      </c>
      <c r="D290" s="19">
        <f t="shared" ref="D290:S290" si="150">SUM(D291:D293)</f>
        <v>2832318.0100000002</v>
      </c>
      <c r="E290" s="19">
        <f t="shared" si="150"/>
        <v>3185882.2</v>
      </c>
      <c r="F290" s="19">
        <f t="shared" si="150"/>
        <v>3243423.3900000006</v>
      </c>
      <c r="G290" s="19">
        <f t="shared" si="150"/>
        <v>3558720.81</v>
      </c>
      <c r="H290" s="19">
        <f t="shared" si="150"/>
        <v>4193761.8</v>
      </c>
      <c r="I290" s="19">
        <f t="shared" si="150"/>
        <v>4379251.57</v>
      </c>
      <c r="J290" s="19">
        <f t="shared" si="150"/>
        <v>5231896.43</v>
      </c>
      <c r="K290" s="19">
        <f t="shared" si="150"/>
        <v>5924274.7199999997</v>
      </c>
      <c r="L290" s="19">
        <f t="shared" si="150"/>
        <v>6541523.6399999997</v>
      </c>
      <c r="M290" s="19">
        <f t="shared" si="150"/>
        <v>6990612.4000000004</v>
      </c>
      <c r="N290" s="19">
        <f t="shared" si="150"/>
        <v>6617708.6799999997</v>
      </c>
      <c r="O290" s="19">
        <f t="shared" si="150"/>
        <v>6617708.6799999997</v>
      </c>
      <c r="P290" s="19">
        <f t="shared" si="150"/>
        <v>4397431.29</v>
      </c>
      <c r="Q290" s="19">
        <f t="shared" si="150"/>
        <v>4397431.29</v>
      </c>
      <c r="R290" s="19">
        <f t="shared" si="150"/>
        <v>4397431.29</v>
      </c>
      <c r="S290" s="19">
        <f t="shared" si="150"/>
        <v>4397431.29</v>
      </c>
      <c r="T290" s="19" t="s">
        <v>73</v>
      </c>
    </row>
    <row r="291" spans="1:20" x14ac:dyDescent="0.25">
      <c r="A291" s="13">
        <v>274</v>
      </c>
      <c r="B291" s="14" t="s">
        <v>22</v>
      </c>
      <c r="C291" s="19">
        <f t="shared" si="145"/>
        <v>32467.42</v>
      </c>
      <c r="D291" s="19">
        <v>0</v>
      </c>
      <c r="E291" s="19">
        <v>0</v>
      </c>
      <c r="F291" s="19"/>
      <c r="G291" s="19">
        <v>32467.42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/>
    </row>
    <row r="292" spans="1:20" x14ac:dyDescent="0.25">
      <c r="A292" s="13">
        <v>275</v>
      </c>
      <c r="B292" s="14" t="s">
        <v>23</v>
      </c>
      <c r="C292" s="19">
        <f t="shared" si="145"/>
        <v>76874340.070000008</v>
      </c>
      <c r="D292" s="19">
        <f>2487446.47+254490.19+101796.07+107598.47-100000+1798-14000-6811.19</f>
        <v>2832318.0100000002</v>
      </c>
      <c r="E292" s="22">
        <f>3161882.2+24000</f>
        <v>3185882.2</v>
      </c>
      <c r="F292" s="22">
        <f>3052085.18+108547.6+42416.12+40374.49</f>
        <v>3243423.3900000006</v>
      </c>
      <c r="G292" s="19">
        <f>3558720.81-32467.42</f>
        <v>3526253.39</v>
      </c>
      <c r="H292" s="19">
        <f>2938540.88+121947.44+557645.52+239915.89+183961.94+151750.13</f>
        <v>4193761.8</v>
      </c>
      <c r="I292" s="19">
        <f>2352477.11+692740.05+209207.5+627295.53+246249.17+205834.24+100727.29-55279.32</f>
        <v>4379251.57</v>
      </c>
      <c r="J292" s="19">
        <f>5124173.9+73576.27+34146.26</f>
        <v>5231896.43</v>
      </c>
      <c r="K292" s="19">
        <f>7198323.3-1521065+24018.21+46936.8+44903.61+131157.8</f>
        <v>5924274.7199999997</v>
      </c>
      <c r="L292" s="19">
        <f>5456330.56+1007755.68+77437.4</f>
        <v>6541523.6399999997</v>
      </c>
      <c r="M292" s="19">
        <f>6867120.04+24000+105492.36-6000</f>
        <v>6990612.4000000004</v>
      </c>
      <c r="N292" s="19">
        <v>6617708.6799999997</v>
      </c>
      <c r="O292" s="19">
        <v>6617708.6799999997</v>
      </c>
      <c r="P292" s="19">
        <v>4397431.29</v>
      </c>
      <c r="Q292" s="19">
        <v>4397431.29</v>
      </c>
      <c r="R292" s="19">
        <v>4397431.29</v>
      </c>
      <c r="S292" s="19">
        <v>4397431.29</v>
      </c>
      <c r="T292" s="19"/>
    </row>
    <row r="293" spans="1:20" ht="30" customHeight="1" x14ac:dyDescent="0.25">
      <c r="A293" s="13">
        <v>276</v>
      </c>
      <c r="B293" s="14" t="s">
        <v>24</v>
      </c>
      <c r="C293" s="19">
        <f t="shared" si="145"/>
        <v>0</v>
      </c>
      <c r="D293" s="19">
        <v>0</v>
      </c>
      <c r="E293" s="19">
        <f>D293*1.05</f>
        <v>0</v>
      </c>
      <c r="F293" s="19">
        <f>E293*1.05</f>
        <v>0</v>
      </c>
      <c r="G293" s="19">
        <f>F293*1.05</f>
        <v>0</v>
      </c>
      <c r="H293" s="19">
        <f>G293*1.05</f>
        <v>0</v>
      </c>
      <c r="I293" s="19">
        <f>H293*1.05</f>
        <v>0</v>
      </c>
      <c r="J293" s="19">
        <v>0</v>
      </c>
      <c r="K293" s="19">
        <v>0</v>
      </c>
      <c r="L293" s="19">
        <v>0</v>
      </c>
      <c r="M293" s="19">
        <v>0</v>
      </c>
      <c r="N293" s="19">
        <v>0</v>
      </c>
      <c r="O293" s="19">
        <v>0</v>
      </c>
      <c r="P293" s="19">
        <v>0</v>
      </c>
      <c r="Q293" s="19">
        <v>0</v>
      </c>
      <c r="R293" s="19">
        <v>0</v>
      </c>
      <c r="S293" s="19">
        <v>0</v>
      </c>
      <c r="T293" s="19"/>
    </row>
    <row r="294" spans="1:20" ht="409.6" customHeight="1" x14ac:dyDescent="0.25">
      <c r="A294" s="13">
        <v>277</v>
      </c>
      <c r="B294" s="37" t="s">
        <v>126</v>
      </c>
      <c r="C294" s="19">
        <f t="shared" si="145"/>
        <v>186137.26</v>
      </c>
      <c r="D294" s="19">
        <f t="shared" ref="D294:Q294" si="151">SUM(D295)</f>
        <v>0</v>
      </c>
      <c r="E294" s="19">
        <f t="shared" si="151"/>
        <v>0</v>
      </c>
      <c r="F294" s="19">
        <f t="shared" si="151"/>
        <v>0</v>
      </c>
      <c r="G294" s="19">
        <f t="shared" si="151"/>
        <v>0</v>
      </c>
      <c r="H294" s="19">
        <f t="shared" si="151"/>
        <v>0</v>
      </c>
      <c r="I294" s="19">
        <f t="shared" si="151"/>
        <v>0</v>
      </c>
      <c r="J294" s="19">
        <f t="shared" si="151"/>
        <v>0</v>
      </c>
      <c r="K294" s="19">
        <f t="shared" si="151"/>
        <v>10203.25</v>
      </c>
      <c r="L294" s="19">
        <f t="shared" si="151"/>
        <v>54653.69</v>
      </c>
      <c r="M294" s="19">
        <f t="shared" si="151"/>
        <v>121280.32000000001</v>
      </c>
      <c r="N294" s="19">
        <f t="shared" si="151"/>
        <v>0</v>
      </c>
      <c r="O294" s="19">
        <f t="shared" si="151"/>
        <v>0</v>
      </c>
      <c r="P294" s="19">
        <f t="shared" si="151"/>
        <v>0</v>
      </c>
      <c r="Q294" s="19">
        <f t="shared" si="151"/>
        <v>0</v>
      </c>
      <c r="R294" s="19"/>
      <c r="S294" s="19"/>
      <c r="T294" s="19" t="s">
        <v>74</v>
      </c>
    </row>
    <row r="295" spans="1:20" ht="19.5" customHeight="1" x14ac:dyDescent="0.25">
      <c r="A295" s="13">
        <v>278</v>
      </c>
      <c r="B295" s="14" t="s">
        <v>22</v>
      </c>
      <c r="C295" s="19">
        <f t="shared" si="145"/>
        <v>186137.26</v>
      </c>
      <c r="D295" s="19">
        <v>0</v>
      </c>
      <c r="E295" s="19">
        <v>0</v>
      </c>
      <c r="F295" s="19">
        <v>0</v>
      </c>
      <c r="G295" s="19">
        <v>0</v>
      </c>
      <c r="H295" s="19">
        <v>0</v>
      </c>
      <c r="I295" s="19">
        <v>0</v>
      </c>
      <c r="J295" s="19">
        <v>0</v>
      </c>
      <c r="K295" s="19">
        <v>10203.25</v>
      </c>
      <c r="L295" s="19">
        <f>47851.28+6802.41</f>
        <v>54653.69</v>
      </c>
      <c r="M295" s="19">
        <v>121280.32000000001</v>
      </c>
      <c r="N295" s="19">
        <v>0</v>
      </c>
      <c r="O295" s="19">
        <v>0</v>
      </c>
      <c r="P295" s="19">
        <v>0</v>
      </c>
      <c r="Q295" s="19">
        <v>0</v>
      </c>
      <c r="R295" s="19"/>
      <c r="S295" s="19"/>
      <c r="T295" s="23"/>
    </row>
    <row r="296" spans="1:20" ht="143.25" x14ac:dyDescent="0.25">
      <c r="A296" s="13"/>
      <c r="B296" s="32" t="s">
        <v>127</v>
      </c>
      <c r="C296" s="19">
        <f t="shared" si="145"/>
        <v>50000</v>
      </c>
      <c r="D296" s="19">
        <f>D297</f>
        <v>0</v>
      </c>
      <c r="E296" s="19">
        <f t="shared" ref="E296:S296" si="152">E297</f>
        <v>0</v>
      </c>
      <c r="F296" s="19">
        <f t="shared" si="152"/>
        <v>0</v>
      </c>
      <c r="G296" s="19">
        <f t="shared" si="152"/>
        <v>0</v>
      </c>
      <c r="H296" s="19">
        <f t="shared" si="152"/>
        <v>0</v>
      </c>
      <c r="I296" s="19">
        <f t="shared" si="152"/>
        <v>0</v>
      </c>
      <c r="J296" s="19">
        <f t="shared" si="152"/>
        <v>0</v>
      </c>
      <c r="K296" s="19">
        <f t="shared" si="152"/>
        <v>0</v>
      </c>
      <c r="L296" s="19">
        <f t="shared" si="152"/>
        <v>0</v>
      </c>
      <c r="M296" s="19">
        <f t="shared" si="152"/>
        <v>50000</v>
      </c>
      <c r="N296" s="19">
        <f t="shared" si="152"/>
        <v>0</v>
      </c>
      <c r="O296" s="19">
        <f t="shared" si="152"/>
        <v>0</v>
      </c>
      <c r="P296" s="19">
        <f t="shared" si="152"/>
        <v>0</v>
      </c>
      <c r="Q296" s="19">
        <f t="shared" si="152"/>
        <v>0</v>
      </c>
      <c r="R296" s="19">
        <f t="shared" si="152"/>
        <v>0</v>
      </c>
      <c r="S296" s="19">
        <f t="shared" si="152"/>
        <v>0</v>
      </c>
      <c r="T296" s="15" t="s">
        <v>128</v>
      </c>
    </row>
    <row r="297" spans="1:20" ht="19.5" customHeight="1" x14ac:dyDescent="0.25">
      <c r="A297" s="13"/>
      <c r="B297" s="14" t="s">
        <v>23</v>
      </c>
      <c r="C297" s="19">
        <f t="shared" si="145"/>
        <v>50000</v>
      </c>
      <c r="D297" s="19">
        <v>0</v>
      </c>
      <c r="E297" s="19">
        <v>0</v>
      </c>
      <c r="F297" s="19">
        <v>0</v>
      </c>
      <c r="G297" s="19">
        <v>0</v>
      </c>
      <c r="H297" s="19">
        <v>0</v>
      </c>
      <c r="I297" s="19">
        <v>0</v>
      </c>
      <c r="J297" s="19">
        <v>0</v>
      </c>
      <c r="K297" s="19">
        <v>0</v>
      </c>
      <c r="L297" s="19">
        <v>0</v>
      </c>
      <c r="M297" s="19">
        <v>50000</v>
      </c>
      <c r="N297" s="19">
        <v>0</v>
      </c>
      <c r="O297" s="19">
        <v>0</v>
      </c>
      <c r="P297" s="19">
        <v>0</v>
      </c>
      <c r="Q297" s="19">
        <v>0</v>
      </c>
      <c r="R297" s="19">
        <v>0</v>
      </c>
      <c r="S297" s="19">
        <v>0</v>
      </c>
      <c r="T297" s="23"/>
    </row>
    <row r="298" spans="1:20" ht="35.25" customHeight="1" x14ac:dyDescent="0.25">
      <c r="A298" s="13">
        <v>279</v>
      </c>
      <c r="B298" s="41" t="s">
        <v>139</v>
      </c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</row>
    <row r="299" spans="1:20" ht="43.5" x14ac:dyDescent="0.25">
      <c r="A299" s="13">
        <v>280</v>
      </c>
      <c r="B299" s="14" t="s">
        <v>75</v>
      </c>
      <c r="C299" s="19">
        <f t="shared" ref="C299:I302" si="153">C304+C319</f>
        <v>157732.39000000001</v>
      </c>
      <c r="D299" s="19">
        <f t="shared" si="153"/>
        <v>0</v>
      </c>
      <c r="E299" s="19">
        <f t="shared" si="153"/>
        <v>0</v>
      </c>
      <c r="F299" s="19">
        <f t="shared" si="153"/>
        <v>0</v>
      </c>
      <c r="G299" s="19">
        <f t="shared" si="153"/>
        <v>157732.39000000001</v>
      </c>
      <c r="H299" s="19">
        <f t="shared" si="153"/>
        <v>0</v>
      </c>
      <c r="I299" s="19">
        <f t="shared" si="153"/>
        <v>0</v>
      </c>
      <c r="J299" s="19">
        <v>0</v>
      </c>
      <c r="K299" s="19">
        <v>0</v>
      </c>
      <c r="L299" s="19">
        <v>0</v>
      </c>
      <c r="M299" s="19">
        <v>0</v>
      </c>
      <c r="N299" s="19">
        <v>0</v>
      </c>
      <c r="O299" s="19">
        <v>0</v>
      </c>
      <c r="P299" s="19">
        <v>0</v>
      </c>
      <c r="Q299" s="19">
        <v>0</v>
      </c>
      <c r="R299" s="19">
        <v>0</v>
      </c>
      <c r="S299" s="19">
        <v>0</v>
      </c>
      <c r="T299" s="18" t="s">
        <v>76</v>
      </c>
    </row>
    <row r="300" spans="1:20" x14ac:dyDescent="0.25">
      <c r="A300" s="13">
        <v>281</v>
      </c>
      <c r="B300" s="14" t="s">
        <v>22</v>
      </c>
      <c r="C300" s="19">
        <f t="shared" si="153"/>
        <v>0</v>
      </c>
      <c r="D300" s="19">
        <f t="shared" si="153"/>
        <v>0</v>
      </c>
      <c r="E300" s="19">
        <f t="shared" si="153"/>
        <v>0</v>
      </c>
      <c r="F300" s="19">
        <f t="shared" si="153"/>
        <v>0</v>
      </c>
      <c r="G300" s="19">
        <f t="shared" si="153"/>
        <v>0</v>
      </c>
      <c r="H300" s="19">
        <f t="shared" si="153"/>
        <v>0</v>
      </c>
      <c r="I300" s="19">
        <f t="shared" si="153"/>
        <v>0</v>
      </c>
      <c r="J300" s="19">
        <v>0</v>
      </c>
      <c r="K300" s="19">
        <v>0</v>
      </c>
      <c r="L300" s="19">
        <v>0</v>
      </c>
      <c r="M300" s="19">
        <v>0</v>
      </c>
      <c r="N300" s="19">
        <v>0</v>
      </c>
      <c r="O300" s="19">
        <v>0</v>
      </c>
      <c r="P300" s="19">
        <v>0</v>
      </c>
      <c r="Q300" s="19">
        <v>0</v>
      </c>
      <c r="R300" s="19">
        <v>0</v>
      </c>
      <c r="S300" s="19">
        <v>0</v>
      </c>
      <c r="T300" s="19"/>
    </row>
    <row r="301" spans="1:20" x14ac:dyDescent="0.25">
      <c r="A301" s="13">
        <v>282</v>
      </c>
      <c r="B301" s="14" t="s">
        <v>23</v>
      </c>
      <c r="C301" s="19">
        <f t="shared" si="153"/>
        <v>157732.39000000001</v>
      </c>
      <c r="D301" s="19">
        <f t="shared" si="153"/>
        <v>0</v>
      </c>
      <c r="E301" s="19">
        <f t="shared" si="153"/>
        <v>0</v>
      </c>
      <c r="F301" s="19">
        <f t="shared" si="153"/>
        <v>0</v>
      </c>
      <c r="G301" s="19">
        <f t="shared" si="153"/>
        <v>157732.39000000001</v>
      </c>
      <c r="H301" s="19">
        <f t="shared" si="153"/>
        <v>0</v>
      </c>
      <c r="I301" s="19">
        <f t="shared" si="153"/>
        <v>0</v>
      </c>
      <c r="J301" s="19">
        <v>0</v>
      </c>
      <c r="K301" s="19">
        <v>0</v>
      </c>
      <c r="L301" s="19">
        <v>0</v>
      </c>
      <c r="M301" s="19">
        <v>0</v>
      </c>
      <c r="N301" s="19">
        <v>0</v>
      </c>
      <c r="O301" s="19">
        <v>0</v>
      </c>
      <c r="P301" s="19">
        <v>0</v>
      </c>
      <c r="Q301" s="19">
        <v>0</v>
      </c>
      <c r="R301" s="19">
        <v>0</v>
      </c>
      <c r="S301" s="19">
        <v>0</v>
      </c>
      <c r="T301" s="19"/>
    </row>
    <row r="302" spans="1:20" ht="29.25" x14ac:dyDescent="0.25">
      <c r="A302" s="13">
        <v>283</v>
      </c>
      <c r="B302" s="14" t="s">
        <v>24</v>
      </c>
      <c r="C302" s="19">
        <f t="shared" si="153"/>
        <v>0</v>
      </c>
      <c r="D302" s="19">
        <f t="shared" si="153"/>
        <v>0</v>
      </c>
      <c r="E302" s="19">
        <f t="shared" si="153"/>
        <v>0</v>
      </c>
      <c r="F302" s="19">
        <f t="shared" si="153"/>
        <v>0</v>
      </c>
      <c r="G302" s="19">
        <f t="shared" si="153"/>
        <v>0</v>
      </c>
      <c r="H302" s="19">
        <f t="shared" si="153"/>
        <v>0</v>
      </c>
      <c r="I302" s="19">
        <f t="shared" si="153"/>
        <v>0</v>
      </c>
      <c r="J302" s="19">
        <v>0</v>
      </c>
      <c r="K302" s="19">
        <v>0</v>
      </c>
      <c r="L302" s="19">
        <v>0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19">
        <v>0</v>
      </c>
      <c r="T302" s="19"/>
    </row>
    <row r="303" spans="1:20" ht="15.75" customHeight="1" x14ac:dyDescent="0.25">
      <c r="A303" s="13">
        <v>284</v>
      </c>
      <c r="B303" s="41" t="s">
        <v>29</v>
      </c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</row>
    <row r="304" spans="1:20" ht="72" x14ac:dyDescent="0.25">
      <c r="A304" s="13">
        <v>285</v>
      </c>
      <c r="B304" s="14" t="s">
        <v>30</v>
      </c>
      <c r="C304" s="19">
        <f t="shared" ref="C304:Q304" si="154">C309+C314</f>
        <v>0</v>
      </c>
      <c r="D304" s="19">
        <f t="shared" si="154"/>
        <v>0</v>
      </c>
      <c r="E304" s="19">
        <f t="shared" si="154"/>
        <v>0</v>
      </c>
      <c r="F304" s="19">
        <f t="shared" si="154"/>
        <v>0</v>
      </c>
      <c r="G304" s="19">
        <f t="shared" si="154"/>
        <v>0</v>
      </c>
      <c r="H304" s="19">
        <f t="shared" si="154"/>
        <v>0</v>
      </c>
      <c r="I304" s="19">
        <f t="shared" si="154"/>
        <v>0</v>
      </c>
      <c r="J304" s="19">
        <f t="shared" si="154"/>
        <v>0</v>
      </c>
      <c r="K304" s="19">
        <f t="shared" si="154"/>
        <v>0</v>
      </c>
      <c r="L304" s="19">
        <f t="shared" si="154"/>
        <v>0</v>
      </c>
      <c r="M304" s="19">
        <f t="shared" si="154"/>
        <v>0</v>
      </c>
      <c r="N304" s="19">
        <f t="shared" si="154"/>
        <v>0</v>
      </c>
      <c r="O304" s="19">
        <f t="shared" si="154"/>
        <v>0</v>
      </c>
      <c r="P304" s="19">
        <f t="shared" si="154"/>
        <v>0</v>
      </c>
      <c r="Q304" s="19">
        <f t="shared" si="154"/>
        <v>0</v>
      </c>
      <c r="R304" s="19">
        <v>0</v>
      </c>
      <c r="S304" s="19">
        <v>0</v>
      </c>
      <c r="T304" s="19"/>
    </row>
    <row r="305" spans="1:20" x14ac:dyDescent="0.25">
      <c r="A305" s="13">
        <v>286</v>
      </c>
      <c r="B305" s="14" t="s">
        <v>22</v>
      </c>
      <c r="C305" s="19">
        <f t="shared" ref="C305:Q305" si="155">C310+C315</f>
        <v>0</v>
      </c>
      <c r="D305" s="19">
        <f t="shared" si="155"/>
        <v>0</v>
      </c>
      <c r="E305" s="19">
        <f t="shared" si="155"/>
        <v>0</v>
      </c>
      <c r="F305" s="19">
        <f t="shared" si="155"/>
        <v>0</v>
      </c>
      <c r="G305" s="19">
        <f t="shared" si="155"/>
        <v>0</v>
      </c>
      <c r="H305" s="19">
        <f t="shared" si="155"/>
        <v>0</v>
      </c>
      <c r="I305" s="19">
        <f t="shared" si="155"/>
        <v>0</v>
      </c>
      <c r="J305" s="19">
        <f t="shared" si="155"/>
        <v>0</v>
      </c>
      <c r="K305" s="19">
        <f t="shared" si="155"/>
        <v>0</v>
      </c>
      <c r="L305" s="19">
        <f t="shared" si="155"/>
        <v>0</v>
      </c>
      <c r="M305" s="19">
        <f t="shared" si="155"/>
        <v>0</v>
      </c>
      <c r="N305" s="19">
        <f t="shared" si="155"/>
        <v>0</v>
      </c>
      <c r="O305" s="19">
        <f t="shared" si="155"/>
        <v>0</v>
      </c>
      <c r="P305" s="19">
        <f t="shared" si="155"/>
        <v>0</v>
      </c>
      <c r="Q305" s="19">
        <f t="shared" si="155"/>
        <v>0</v>
      </c>
      <c r="R305" s="19">
        <v>0</v>
      </c>
      <c r="S305" s="19">
        <v>0</v>
      </c>
      <c r="T305" s="19"/>
    </row>
    <row r="306" spans="1:20" x14ac:dyDescent="0.25">
      <c r="A306" s="13">
        <v>287</v>
      </c>
      <c r="B306" s="14" t="s">
        <v>23</v>
      </c>
      <c r="C306" s="19">
        <f t="shared" ref="C306:Q306" si="156">C311+C316</f>
        <v>0</v>
      </c>
      <c r="D306" s="19">
        <f t="shared" si="156"/>
        <v>0</v>
      </c>
      <c r="E306" s="19">
        <f t="shared" si="156"/>
        <v>0</v>
      </c>
      <c r="F306" s="19">
        <f t="shared" si="156"/>
        <v>0</v>
      </c>
      <c r="G306" s="19">
        <f t="shared" si="156"/>
        <v>0</v>
      </c>
      <c r="H306" s="19">
        <f t="shared" si="156"/>
        <v>0</v>
      </c>
      <c r="I306" s="19">
        <f t="shared" si="156"/>
        <v>0</v>
      </c>
      <c r="J306" s="19">
        <f t="shared" si="156"/>
        <v>0</v>
      </c>
      <c r="K306" s="19">
        <f t="shared" si="156"/>
        <v>0</v>
      </c>
      <c r="L306" s="19">
        <f t="shared" si="156"/>
        <v>0</v>
      </c>
      <c r="M306" s="19">
        <f t="shared" si="156"/>
        <v>0</v>
      </c>
      <c r="N306" s="19">
        <f t="shared" si="156"/>
        <v>0</v>
      </c>
      <c r="O306" s="19">
        <f t="shared" si="156"/>
        <v>0</v>
      </c>
      <c r="P306" s="19">
        <f t="shared" si="156"/>
        <v>0</v>
      </c>
      <c r="Q306" s="19">
        <f t="shared" si="156"/>
        <v>0</v>
      </c>
      <c r="R306" s="19">
        <v>0</v>
      </c>
      <c r="S306" s="19">
        <v>0</v>
      </c>
      <c r="T306" s="19"/>
    </row>
    <row r="307" spans="1:20" ht="29.25" x14ac:dyDescent="0.25">
      <c r="A307" s="13">
        <v>288</v>
      </c>
      <c r="B307" s="14" t="s">
        <v>24</v>
      </c>
      <c r="C307" s="19">
        <f t="shared" ref="C307:Q307" si="157">C312+C317</f>
        <v>0</v>
      </c>
      <c r="D307" s="19">
        <f t="shared" si="157"/>
        <v>0</v>
      </c>
      <c r="E307" s="19">
        <f t="shared" si="157"/>
        <v>0</v>
      </c>
      <c r="F307" s="19">
        <f t="shared" si="157"/>
        <v>0</v>
      </c>
      <c r="G307" s="19">
        <f t="shared" si="157"/>
        <v>0</v>
      </c>
      <c r="H307" s="19">
        <f t="shared" si="157"/>
        <v>0</v>
      </c>
      <c r="I307" s="19">
        <f t="shared" si="157"/>
        <v>0</v>
      </c>
      <c r="J307" s="19">
        <f t="shared" si="157"/>
        <v>0</v>
      </c>
      <c r="K307" s="19">
        <f t="shared" si="157"/>
        <v>0</v>
      </c>
      <c r="L307" s="19">
        <f t="shared" si="157"/>
        <v>0</v>
      </c>
      <c r="M307" s="19">
        <f t="shared" si="157"/>
        <v>0</v>
      </c>
      <c r="N307" s="19">
        <f t="shared" si="157"/>
        <v>0</v>
      </c>
      <c r="O307" s="19">
        <f t="shared" si="157"/>
        <v>0</v>
      </c>
      <c r="P307" s="19">
        <f t="shared" si="157"/>
        <v>0</v>
      </c>
      <c r="Q307" s="19">
        <f t="shared" si="157"/>
        <v>0</v>
      </c>
      <c r="R307" s="19">
        <v>0</v>
      </c>
      <c r="S307" s="19">
        <v>0</v>
      </c>
      <c r="T307" s="19"/>
    </row>
    <row r="308" spans="1:20" ht="15.75" customHeight="1" x14ac:dyDescent="0.25">
      <c r="A308" s="13">
        <v>289</v>
      </c>
      <c r="B308" s="41" t="s">
        <v>31</v>
      </c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</row>
    <row r="309" spans="1:20" ht="86.25" x14ac:dyDescent="0.25">
      <c r="A309" s="13">
        <v>290</v>
      </c>
      <c r="B309" s="14" t="s">
        <v>32</v>
      </c>
      <c r="C309" s="19"/>
      <c r="D309" s="19"/>
      <c r="E309" s="19"/>
      <c r="F309" s="19"/>
      <c r="G309" s="19"/>
      <c r="H309" s="19"/>
      <c r="I309" s="19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19"/>
    </row>
    <row r="310" spans="1:20" x14ac:dyDescent="0.25">
      <c r="A310" s="13">
        <v>291</v>
      </c>
      <c r="B310" s="14" t="s">
        <v>22</v>
      </c>
      <c r="C310" s="19"/>
      <c r="D310" s="19"/>
      <c r="E310" s="19"/>
      <c r="F310" s="19"/>
      <c r="G310" s="19"/>
      <c r="H310" s="19"/>
      <c r="I310" s="19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19"/>
    </row>
    <row r="311" spans="1:20" x14ac:dyDescent="0.25">
      <c r="A311" s="13">
        <v>292</v>
      </c>
      <c r="B311" s="14" t="s">
        <v>23</v>
      </c>
      <c r="C311" s="19"/>
      <c r="D311" s="19"/>
      <c r="E311" s="19"/>
      <c r="F311" s="19"/>
      <c r="G311" s="19"/>
      <c r="H311" s="19"/>
      <c r="I311" s="19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19"/>
    </row>
    <row r="312" spans="1:20" ht="29.25" x14ac:dyDescent="0.25">
      <c r="A312" s="13">
        <v>293</v>
      </c>
      <c r="B312" s="14" t="s">
        <v>24</v>
      </c>
      <c r="C312" s="19"/>
      <c r="D312" s="19"/>
      <c r="E312" s="19"/>
      <c r="F312" s="19"/>
      <c r="G312" s="19"/>
      <c r="H312" s="19"/>
      <c r="I312" s="19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19"/>
    </row>
    <row r="313" spans="1:20" ht="15.75" customHeight="1" x14ac:dyDescent="0.25">
      <c r="A313" s="13">
        <v>294</v>
      </c>
      <c r="B313" s="41" t="s">
        <v>33</v>
      </c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</row>
    <row r="314" spans="1:20" ht="43.5" x14ac:dyDescent="0.25">
      <c r="A314" s="13">
        <v>295</v>
      </c>
      <c r="B314" s="14" t="s">
        <v>34</v>
      </c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</row>
    <row r="315" spans="1:20" x14ac:dyDescent="0.25">
      <c r="A315" s="13">
        <v>296</v>
      </c>
      <c r="B315" s="14" t="s">
        <v>22</v>
      </c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</row>
    <row r="316" spans="1:20" x14ac:dyDescent="0.25">
      <c r="A316" s="13">
        <v>297</v>
      </c>
      <c r="B316" s="14" t="s">
        <v>23</v>
      </c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</row>
    <row r="317" spans="1:20" ht="29.25" x14ac:dyDescent="0.25">
      <c r="A317" s="13">
        <v>298</v>
      </c>
      <c r="B317" s="14" t="s">
        <v>24</v>
      </c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</row>
    <row r="318" spans="1:20" ht="15.75" customHeight="1" x14ac:dyDescent="0.25">
      <c r="A318" s="13">
        <v>299</v>
      </c>
      <c r="B318" s="41" t="s">
        <v>35</v>
      </c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</row>
    <row r="319" spans="1:20" ht="69" customHeight="1" x14ac:dyDescent="0.25">
      <c r="A319" s="13">
        <v>300</v>
      </c>
      <c r="B319" s="14" t="s">
        <v>36</v>
      </c>
      <c r="C319" s="19">
        <f t="shared" ref="C319:C326" si="158">SUM(D319:S319)</f>
        <v>157732.39000000001</v>
      </c>
      <c r="D319" s="19">
        <f t="shared" ref="D319:S319" si="159">SUM(D320:D322)</f>
        <v>0</v>
      </c>
      <c r="E319" s="19">
        <f t="shared" si="159"/>
        <v>0</v>
      </c>
      <c r="F319" s="19">
        <f t="shared" si="159"/>
        <v>0</v>
      </c>
      <c r="G319" s="19">
        <f t="shared" si="159"/>
        <v>157732.39000000001</v>
      </c>
      <c r="H319" s="19">
        <f t="shared" si="159"/>
        <v>0</v>
      </c>
      <c r="I319" s="19">
        <f t="shared" si="159"/>
        <v>0</v>
      </c>
      <c r="J319" s="19">
        <f t="shared" si="159"/>
        <v>0</v>
      </c>
      <c r="K319" s="19">
        <f t="shared" si="159"/>
        <v>0</v>
      </c>
      <c r="L319" s="19">
        <f t="shared" si="159"/>
        <v>0</v>
      </c>
      <c r="M319" s="19">
        <f t="shared" si="159"/>
        <v>0</v>
      </c>
      <c r="N319" s="19">
        <f t="shared" si="159"/>
        <v>0</v>
      </c>
      <c r="O319" s="19">
        <f t="shared" si="159"/>
        <v>0</v>
      </c>
      <c r="P319" s="19">
        <f t="shared" si="159"/>
        <v>0</v>
      </c>
      <c r="Q319" s="19">
        <f t="shared" si="159"/>
        <v>0</v>
      </c>
      <c r="R319" s="19">
        <f t="shared" si="159"/>
        <v>0</v>
      </c>
      <c r="S319" s="19">
        <f t="shared" si="159"/>
        <v>0</v>
      </c>
      <c r="T319" s="18" t="s">
        <v>76</v>
      </c>
    </row>
    <row r="320" spans="1:20" x14ac:dyDescent="0.25">
      <c r="A320" s="13">
        <v>301</v>
      </c>
      <c r="B320" s="14" t="s">
        <v>22</v>
      </c>
      <c r="C320" s="19">
        <f t="shared" si="158"/>
        <v>0</v>
      </c>
      <c r="D320" s="19">
        <f t="shared" ref="D320:S320" si="160">D324</f>
        <v>0</v>
      </c>
      <c r="E320" s="19">
        <f t="shared" si="160"/>
        <v>0</v>
      </c>
      <c r="F320" s="19">
        <f t="shared" si="160"/>
        <v>0</v>
      </c>
      <c r="G320" s="19">
        <f t="shared" si="160"/>
        <v>0</v>
      </c>
      <c r="H320" s="19">
        <f t="shared" si="160"/>
        <v>0</v>
      </c>
      <c r="I320" s="19">
        <f t="shared" si="160"/>
        <v>0</v>
      </c>
      <c r="J320" s="19">
        <f t="shared" si="160"/>
        <v>0</v>
      </c>
      <c r="K320" s="19">
        <f t="shared" si="160"/>
        <v>0</v>
      </c>
      <c r="L320" s="19">
        <f t="shared" si="160"/>
        <v>0</v>
      </c>
      <c r="M320" s="19">
        <f t="shared" si="160"/>
        <v>0</v>
      </c>
      <c r="N320" s="19">
        <f t="shared" si="160"/>
        <v>0</v>
      </c>
      <c r="O320" s="19">
        <f t="shared" si="160"/>
        <v>0</v>
      </c>
      <c r="P320" s="19">
        <f t="shared" si="160"/>
        <v>0</v>
      </c>
      <c r="Q320" s="19">
        <f t="shared" si="160"/>
        <v>0</v>
      </c>
      <c r="R320" s="19">
        <f t="shared" si="160"/>
        <v>0</v>
      </c>
      <c r="S320" s="19">
        <f t="shared" si="160"/>
        <v>0</v>
      </c>
      <c r="T320" s="19"/>
    </row>
    <row r="321" spans="1:20" x14ac:dyDescent="0.25">
      <c r="A321" s="13">
        <v>302</v>
      </c>
      <c r="B321" s="14" t="s">
        <v>23</v>
      </c>
      <c r="C321" s="19">
        <f t="shared" si="158"/>
        <v>157732.39000000001</v>
      </c>
      <c r="D321" s="19">
        <f t="shared" ref="D321:S321" si="161">D325</f>
        <v>0</v>
      </c>
      <c r="E321" s="19">
        <f t="shared" si="161"/>
        <v>0</v>
      </c>
      <c r="F321" s="19">
        <f t="shared" si="161"/>
        <v>0</v>
      </c>
      <c r="G321" s="19">
        <f t="shared" si="161"/>
        <v>157732.39000000001</v>
      </c>
      <c r="H321" s="19">
        <f t="shared" si="161"/>
        <v>0</v>
      </c>
      <c r="I321" s="19">
        <f t="shared" si="161"/>
        <v>0</v>
      </c>
      <c r="J321" s="19">
        <f t="shared" si="161"/>
        <v>0</v>
      </c>
      <c r="K321" s="19">
        <f t="shared" si="161"/>
        <v>0</v>
      </c>
      <c r="L321" s="19">
        <f t="shared" si="161"/>
        <v>0</v>
      </c>
      <c r="M321" s="19">
        <f t="shared" si="161"/>
        <v>0</v>
      </c>
      <c r="N321" s="19">
        <f t="shared" si="161"/>
        <v>0</v>
      </c>
      <c r="O321" s="19">
        <f t="shared" si="161"/>
        <v>0</v>
      </c>
      <c r="P321" s="19">
        <f t="shared" si="161"/>
        <v>0</v>
      </c>
      <c r="Q321" s="19">
        <f t="shared" si="161"/>
        <v>0</v>
      </c>
      <c r="R321" s="19">
        <f t="shared" si="161"/>
        <v>0</v>
      </c>
      <c r="S321" s="19">
        <f t="shared" si="161"/>
        <v>0</v>
      </c>
      <c r="T321" s="19"/>
    </row>
    <row r="322" spans="1:20" ht="32.25" customHeight="1" x14ac:dyDescent="0.25">
      <c r="A322" s="13">
        <v>303</v>
      </c>
      <c r="B322" s="14" t="s">
        <v>24</v>
      </c>
      <c r="C322" s="19">
        <f t="shared" si="158"/>
        <v>0</v>
      </c>
      <c r="D322" s="19">
        <f t="shared" ref="D322:S322" si="162">D326</f>
        <v>0</v>
      </c>
      <c r="E322" s="19">
        <f t="shared" si="162"/>
        <v>0</v>
      </c>
      <c r="F322" s="19">
        <f t="shared" si="162"/>
        <v>0</v>
      </c>
      <c r="G322" s="19">
        <f t="shared" si="162"/>
        <v>0</v>
      </c>
      <c r="H322" s="19">
        <f t="shared" si="162"/>
        <v>0</v>
      </c>
      <c r="I322" s="19">
        <f t="shared" si="162"/>
        <v>0</v>
      </c>
      <c r="J322" s="19">
        <f t="shared" si="162"/>
        <v>0</v>
      </c>
      <c r="K322" s="19">
        <f t="shared" si="162"/>
        <v>0</v>
      </c>
      <c r="L322" s="19">
        <f t="shared" si="162"/>
        <v>0</v>
      </c>
      <c r="M322" s="19">
        <f t="shared" si="162"/>
        <v>0</v>
      </c>
      <c r="N322" s="19">
        <f t="shared" si="162"/>
        <v>0</v>
      </c>
      <c r="O322" s="19">
        <f t="shared" si="162"/>
        <v>0</v>
      </c>
      <c r="P322" s="19">
        <f t="shared" si="162"/>
        <v>0</v>
      </c>
      <c r="Q322" s="19">
        <f t="shared" si="162"/>
        <v>0</v>
      </c>
      <c r="R322" s="19">
        <f t="shared" si="162"/>
        <v>0</v>
      </c>
      <c r="S322" s="19">
        <f t="shared" si="162"/>
        <v>0</v>
      </c>
      <c r="T322" s="19"/>
    </row>
    <row r="323" spans="1:20" ht="237" customHeight="1" x14ac:dyDescent="0.25">
      <c r="A323" s="13">
        <v>304</v>
      </c>
      <c r="B323" s="32" t="s">
        <v>123</v>
      </c>
      <c r="C323" s="19">
        <f t="shared" si="158"/>
        <v>157732.39000000001</v>
      </c>
      <c r="D323" s="19">
        <v>0</v>
      </c>
      <c r="E323" s="19">
        <v>0</v>
      </c>
      <c r="F323" s="19">
        <v>0</v>
      </c>
      <c r="G323" s="19">
        <f>367295.2+38277-247839.81</f>
        <v>157732.39000000001</v>
      </c>
      <c r="H323" s="19">
        <v>0</v>
      </c>
      <c r="I323" s="19">
        <v>0</v>
      </c>
      <c r="J323" s="19">
        <v>0</v>
      </c>
      <c r="K323" s="19">
        <v>0</v>
      </c>
      <c r="L323" s="19">
        <v>0</v>
      </c>
      <c r="M323" s="19">
        <v>0</v>
      </c>
      <c r="N323" s="19">
        <v>0</v>
      </c>
      <c r="O323" s="19">
        <v>0</v>
      </c>
      <c r="P323" s="19">
        <v>0</v>
      </c>
      <c r="Q323" s="19">
        <v>0</v>
      </c>
      <c r="R323" s="19">
        <v>0</v>
      </c>
      <c r="S323" s="19">
        <v>0</v>
      </c>
      <c r="T323" s="18" t="s">
        <v>76</v>
      </c>
    </row>
    <row r="324" spans="1:20" x14ac:dyDescent="0.25">
      <c r="A324" s="13">
        <v>305</v>
      </c>
      <c r="B324" s="14" t="s">
        <v>22</v>
      </c>
      <c r="C324" s="19">
        <f t="shared" si="158"/>
        <v>0</v>
      </c>
      <c r="D324" s="19">
        <v>0</v>
      </c>
      <c r="E324" s="19">
        <v>0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9">
        <v>0</v>
      </c>
      <c r="O324" s="19">
        <v>0</v>
      </c>
      <c r="P324" s="19">
        <v>0</v>
      </c>
      <c r="Q324" s="19">
        <v>0</v>
      </c>
      <c r="R324" s="19">
        <v>0</v>
      </c>
      <c r="S324" s="19">
        <v>0</v>
      </c>
      <c r="T324" s="15"/>
    </row>
    <row r="325" spans="1:20" x14ac:dyDescent="0.25">
      <c r="A325" s="13">
        <v>306</v>
      </c>
      <c r="B325" s="14" t="s">
        <v>23</v>
      </c>
      <c r="C325" s="19">
        <f t="shared" si="158"/>
        <v>157732.39000000001</v>
      </c>
      <c r="D325" s="19">
        <v>0</v>
      </c>
      <c r="E325" s="22">
        <v>0</v>
      </c>
      <c r="F325" s="22">
        <v>0</v>
      </c>
      <c r="G325" s="19">
        <f>367295.2+38277-247839.81</f>
        <v>157732.39000000001</v>
      </c>
      <c r="H325" s="19">
        <v>0</v>
      </c>
      <c r="I325" s="19">
        <v>0</v>
      </c>
      <c r="J325" s="19">
        <v>0</v>
      </c>
      <c r="K325" s="19">
        <v>0</v>
      </c>
      <c r="L325" s="19">
        <v>0</v>
      </c>
      <c r="M325" s="19">
        <v>0</v>
      </c>
      <c r="N325" s="19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5"/>
    </row>
    <row r="326" spans="1:20" ht="29.25" x14ac:dyDescent="0.25">
      <c r="A326" s="13">
        <v>307</v>
      </c>
      <c r="B326" s="14" t="s">
        <v>24</v>
      </c>
      <c r="C326" s="19">
        <f t="shared" si="158"/>
        <v>0</v>
      </c>
      <c r="D326" s="19">
        <v>0</v>
      </c>
      <c r="E326" s="19">
        <v>0</v>
      </c>
      <c r="F326" s="19">
        <v>0</v>
      </c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0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19">
        <v>0</v>
      </c>
      <c r="T326" s="15"/>
    </row>
    <row r="327" spans="1:20" ht="21.75" customHeight="1" x14ac:dyDescent="0.25">
      <c r="A327" s="13">
        <v>308</v>
      </c>
      <c r="B327" s="41" t="s">
        <v>77</v>
      </c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</row>
    <row r="328" spans="1:20" ht="43.5" x14ac:dyDescent="0.25">
      <c r="A328" s="13">
        <v>309</v>
      </c>
      <c r="B328" s="14" t="s">
        <v>78</v>
      </c>
      <c r="C328" s="19">
        <f t="shared" ref="C328:I331" si="163">C333+C348</f>
        <v>0</v>
      </c>
      <c r="D328" s="19">
        <f t="shared" si="163"/>
        <v>0</v>
      </c>
      <c r="E328" s="19">
        <f t="shared" si="163"/>
        <v>0</v>
      </c>
      <c r="F328" s="19">
        <f t="shared" si="163"/>
        <v>0</v>
      </c>
      <c r="G328" s="19">
        <f t="shared" si="163"/>
        <v>0</v>
      </c>
      <c r="H328" s="19">
        <f t="shared" si="163"/>
        <v>0</v>
      </c>
      <c r="I328" s="19">
        <f t="shared" si="163"/>
        <v>0</v>
      </c>
      <c r="J328" s="19">
        <v>0</v>
      </c>
      <c r="K328" s="19">
        <v>0</v>
      </c>
      <c r="L328" s="19">
        <v>0</v>
      </c>
      <c r="M328" s="19">
        <v>0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19">
        <v>0</v>
      </c>
      <c r="T328" s="18" t="s">
        <v>76</v>
      </c>
    </row>
    <row r="329" spans="1:20" x14ac:dyDescent="0.25">
      <c r="A329" s="13">
        <v>310</v>
      </c>
      <c r="B329" s="14" t="s">
        <v>22</v>
      </c>
      <c r="C329" s="19">
        <f t="shared" si="163"/>
        <v>0</v>
      </c>
      <c r="D329" s="19">
        <f t="shared" si="163"/>
        <v>0</v>
      </c>
      <c r="E329" s="19">
        <f t="shared" si="163"/>
        <v>0</v>
      </c>
      <c r="F329" s="19">
        <f t="shared" si="163"/>
        <v>0</v>
      </c>
      <c r="G329" s="19">
        <f t="shared" si="163"/>
        <v>0</v>
      </c>
      <c r="H329" s="19">
        <f t="shared" si="163"/>
        <v>0</v>
      </c>
      <c r="I329" s="19">
        <f t="shared" si="163"/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/>
    </row>
    <row r="330" spans="1:20" x14ac:dyDescent="0.25">
      <c r="A330" s="13">
        <v>311</v>
      </c>
      <c r="B330" s="14" t="s">
        <v>23</v>
      </c>
      <c r="C330" s="19">
        <f t="shared" si="163"/>
        <v>0</v>
      </c>
      <c r="D330" s="19">
        <f t="shared" si="163"/>
        <v>0</v>
      </c>
      <c r="E330" s="19">
        <f t="shared" si="163"/>
        <v>0</v>
      </c>
      <c r="F330" s="19">
        <f t="shared" si="163"/>
        <v>0</v>
      </c>
      <c r="G330" s="19">
        <f t="shared" si="163"/>
        <v>0</v>
      </c>
      <c r="H330" s="19">
        <f t="shared" si="163"/>
        <v>0</v>
      </c>
      <c r="I330" s="19">
        <f t="shared" si="163"/>
        <v>0</v>
      </c>
      <c r="J330" s="19">
        <v>0</v>
      </c>
      <c r="K330" s="19">
        <v>0</v>
      </c>
      <c r="L330" s="19">
        <v>0</v>
      </c>
      <c r="M330" s="19">
        <v>0</v>
      </c>
      <c r="N330" s="19">
        <v>0</v>
      </c>
      <c r="O330" s="19">
        <v>0</v>
      </c>
      <c r="P330" s="19">
        <v>0</v>
      </c>
      <c r="Q330" s="19">
        <v>0</v>
      </c>
      <c r="R330" s="19">
        <v>0</v>
      </c>
      <c r="S330" s="19">
        <v>0</v>
      </c>
      <c r="T330" s="19"/>
    </row>
    <row r="331" spans="1:20" ht="29.25" x14ac:dyDescent="0.25">
      <c r="A331" s="13">
        <v>312</v>
      </c>
      <c r="B331" s="14" t="s">
        <v>24</v>
      </c>
      <c r="C331" s="19">
        <f t="shared" si="163"/>
        <v>0</v>
      </c>
      <c r="D331" s="19">
        <f t="shared" si="163"/>
        <v>0</v>
      </c>
      <c r="E331" s="19">
        <f t="shared" si="163"/>
        <v>0</v>
      </c>
      <c r="F331" s="19">
        <f t="shared" si="163"/>
        <v>0</v>
      </c>
      <c r="G331" s="19">
        <f t="shared" si="163"/>
        <v>0</v>
      </c>
      <c r="H331" s="19">
        <f t="shared" si="163"/>
        <v>0</v>
      </c>
      <c r="I331" s="19">
        <f t="shared" si="163"/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/>
    </row>
    <row r="332" spans="1:20" ht="15.75" customHeight="1" x14ac:dyDescent="0.25">
      <c r="A332" s="13">
        <v>313</v>
      </c>
      <c r="B332" s="41" t="s">
        <v>29</v>
      </c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</row>
    <row r="333" spans="1:20" ht="72" x14ac:dyDescent="0.25">
      <c r="A333" s="13">
        <v>314</v>
      </c>
      <c r="B333" s="14" t="s">
        <v>30</v>
      </c>
      <c r="C333" s="19">
        <f t="shared" ref="C333:Q333" si="164">C338+C343</f>
        <v>0</v>
      </c>
      <c r="D333" s="19">
        <f t="shared" si="164"/>
        <v>0</v>
      </c>
      <c r="E333" s="19">
        <f t="shared" si="164"/>
        <v>0</v>
      </c>
      <c r="F333" s="19">
        <f t="shared" si="164"/>
        <v>0</v>
      </c>
      <c r="G333" s="19">
        <f t="shared" si="164"/>
        <v>0</v>
      </c>
      <c r="H333" s="19">
        <f t="shared" si="164"/>
        <v>0</v>
      </c>
      <c r="I333" s="19">
        <f t="shared" si="164"/>
        <v>0</v>
      </c>
      <c r="J333" s="19">
        <f t="shared" si="164"/>
        <v>0</v>
      </c>
      <c r="K333" s="19">
        <f t="shared" si="164"/>
        <v>0</v>
      </c>
      <c r="L333" s="19">
        <f t="shared" si="164"/>
        <v>0</v>
      </c>
      <c r="M333" s="19">
        <f t="shared" si="164"/>
        <v>0</v>
      </c>
      <c r="N333" s="19">
        <f t="shared" si="164"/>
        <v>0</v>
      </c>
      <c r="O333" s="19">
        <f t="shared" si="164"/>
        <v>0</v>
      </c>
      <c r="P333" s="19">
        <f t="shared" si="164"/>
        <v>0</v>
      </c>
      <c r="Q333" s="19">
        <f t="shared" si="164"/>
        <v>0</v>
      </c>
      <c r="R333" s="19">
        <v>0</v>
      </c>
      <c r="S333" s="19">
        <v>0</v>
      </c>
      <c r="T333" s="19"/>
    </row>
    <row r="334" spans="1:20" x14ac:dyDescent="0.25">
      <c r="A334" s="13">
        <v>315</v>
      </c>
      <c r="B334" s="14" t="s">
        <v>22</v>
      </c>
      <c r="C334" s="19">
        <f t="shared" ref="C334:Q334" si="165">C339+C344</f>
        <v>0</v>
      </c>
      <c r="D334" s="19">
        <f t="shared" si="165"/>
        <v>0</v>
      </c>
      <c r="E334" s="19">
        <f t="shared" si="165"/>
        <v>0</v>
      </c>
      <c r="F334" s="19">
        <f t="shared" si="165"/>
        <v>0</v>
      </c>
      <c r="G334" s="19">
        <f t="shared" si="165"/>
        <v>0</v>
      </c>
      <c r="H334" s="19">
        <f t="shared" si="165"/>
        <v>0</v>
      </c>
      <c r="I334" s="19">
        <f t="shared" si="165"/>
        <v>0</v>
      </c>
      <c r="J334" s="19">
        <f t="shared" si="165"/>
        <v>0</v>
      </c>
      <c r="K334" s="19">
        <f t="shared" si="165"/>
        <v>0</v>
      </c>
      <c r="L334" s="19">
        <f t="shared" si="165"/>
        <v>0</v>
      </c>
      <c r="M334" s="19">
        <f t="shared" si="165"/>
        <v>0</v>
      </c>
      <c r="N334" s="19">
        <f t="shared" si="165"/>
        <v>0</v>
      </c>
      <c r="O334" s="19">
        <f t="shared" si="165"/>
        <v>0</v>
      </c>
      <c r="P334" s="19">
        <f t="shared" si="165"/>
        <v>0</v>
      </c>
      <c r="Q334" s="19">
        <f t="shared" si="165"/>
        <v>0</v>
      </c>
      <c r="R334" s="19">
        <v>0</v>
      </c>
      <c r="S334" s="19">
        <v>0</v>
      </c>
      <c r="T334" s="19"/>
    </row>
    <row r="335" spans="1:20" x14ac:dyDescent="0.25">
      <c r="A335" s="13">
        <v>316</v>
      </c>
      <c r="B335" s="14" t="s">
        <v>23</v>
      </c>
      <c r="C335" s="19">
        <f t="shared" ref="C335:Q335" si="166">C340+C345</f>
        <v>0</v>
      </c>
      <c r="D335" s="19">
        <f t="shared" si="166"/>
        <v>0</v>
      </c>
      <c r="E335" s="19">
        <f t="shared" si="166"/>
        <v>0</v>
      </c>
      <c r="F335" s="19">
        <f t="shared" si="166"/>
        <v>0</v>
      </c>
      <c r="G335" s="19">
        <f t="shared" si="166"/>
        <v>0</v>
      </c>
      <c r="H335" s="19">
        <f t="shared" si="166"/>
        <v>0</v>
      </c>
      <c r="I335" s="19">
        <f t="shared" si="166"/>
        <v>0</v>
      </c>
      <c r="J335" s="19">
        <f t="shared" si="166"/>
        <v>0</v>
      </c>
      <c r="K335" s="19">
        <f t="shared" si="166"/>
        <v>0</v>
      </c>
      <c r="L335" s="19">
        <f t="shared" si="166"/>
        <v>0</v>
      </c>
      <c r="M335" s="19">
        <f t="shared" si="166"/>
        <v>0</v>
      </c>
      <c r="N335" s="19">
        <f t="shared" si="166"/>
        <v>0</v>
      </c>
      <c r="O335" s="19">
        <f t="shared" si="166"/>
        <v>0</v>
      </c>
      <c r="P335" s="19">
        <f t="shared" si="166"/>
        <v>0</v>
      </c>
      <c r="Q335" s="19">
        <f t="shared" si="166"/>
        <v>0</v>
      </c>
      <c r="R335" s="19">
        <v>0</v>
      </c>
      <c r="S335" s="19">
        <v>0</v>
      </c>
      <c r="T335" s="19"/>
    </row>
    <row r="336" spans="1:20" ht="29.25" x14ac:dyDescent="0.25">
      <c r="A336" s="13">
        <v>317</v>
      </c>
      <c r="B336" s="14" t="s">
        <v>24</v>
      </c>
      <c r="C336" s="19">
        <f t="shared" ref="C336:Q336" si="167">C341+C346</f>
        <v>0</v>
      </c>
      <c r="D336" s="19">
        <f t="shared" si="167"/>
        <v>0</v>
      </c>
      <c r="E336" s="19">
        <f t="shared" si="167"/>
        <v>0</v>
      </c>
      <c r="F336" s="19">
        <f t="shared" si="167"/>
        <v>0</v>
      </c>
      <c r="G336" s="19">
        <f t="shared" si="167"/>
        <v>0</v>
      </c>
      <c r="H336" s="19">
        <f t="shared" si="167"/>
        <v>0</v>
      </c>
      <c r="I336" s="19">
        <f t="shared" si="167"/>
        <v>0</v>
      </c>
      <c r="J336" s="19">
        <f t="shared" si="167"/>
        <v>0</v>
      </c>
      <c r="K336" s="19">
        <f t="shared" si="167"/>
        <v>0</v>
      </c>
      <c r="L336" s="19">
        <f t="shared" si="167"/>
        <v>0</v>
      </c>
      <c r="M336" s="19">
        <f t="shared" si="167"/>
        <v>0</v>
      </c>
      <c r="N336" s="19">
        <f t="shared" si="167"/>
        <v>0</v>
      </c>
      <c r="O336" s="19">
        <f t="shared" si="167"/>
        <v>0</v>
      </c>
      <c r="P336" s="19">
        <f t="shared" si="167"/>
        <v>0</v>
      </c>
      <c r="Q336" s="19">
        <f t="shared" si="167"/>
        <v>0</v>
      </c>
      <c r="R336" s="19">
        <v>0</v>
      </c>
      <c r="S336" s="19">
        <v>0</v>
      </c>
      <c r="T336" s="19"/>
    </row>
    <row r="337" spans="1:20" ht="15.75" customHeight="1" x14ac:dyDescent="0.25">
      <c r="A337" s="13">
        <v>318</v>
      </c>
      <c r="B337" s="41" t="s">
        <v>31</v>
      </c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</row>
    <row r="338" spans="1:20" ht="86.25" x14ac:dyDescent="0.25">
      <c r="A338" s="13">
        <v>319</v>
      </c>
      <c r="B338" s="14" t="s">
        <v>32</v>
      </c>
      <c r="C338" s="19"/>
      <c r="D338" s="19"/>
      <c r="E338" s="19"/>
      <c r="F338" s="19"/>
      <c r="G338" s="19"/>
      <c r="H338" s="19"/>
      <c r="I338" s="19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19"/>
    </row>
    <row r="339" spans="1:20" x14ac:dyDescent="0.25">
      <c r="A339" s="13">
        <v>320</v>
      </c>
      <c r="B339" s="14" t="s">
        <v>22</v>
      </c>
      <c r="C339" s="19"/>
      <c r="D339" s="19"/>
      <c r="E339" s="19"/>
      <c r="F339" s="19"/>
      <c r="G339" s="19"/>
      <c r="H339" s="19"/>
      <c r="I339" s="19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19"/>
    </row>
    <row r="340" spans="1:20" x14ac:dyDescent="0.25">
      <c r="A340" s="13">
        <v>321</v>
      </c>
      <c r="B340" s="14" t="s">
        <v>23</v>
      </c>
      <c r="C340" s="19"/>
      <c r="D340" s="19"/>
      <c r="E340" s="19"/>
      <c r="F340" s="19"/>
      <c r="G340" s="19"/>
      <c r="H340" s="19"/>
      <c r="I340" s="19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19"/>
    </row>
    <row r="341" spans="1:20" ht="29.25" x14ac:dyDescent="0.25">
      <c r="A341" s="13">
        <v>322</v>
      </c>
      <c r="B341" s="14" t="s">
        <v>24</v>
      </c>
      <c r="C341" s="19"/>
      <c r="D341" s="19"/>
      <c r="E341" s="19"/>
      <c r="F341" s="19"/>
      <c r="G341" s="19"/>
      <c r="H341" s="19"/>
      <c r="I341" s="19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19"/>
    </row>
    <row r="342" spans="1:20" ht="15.75" customHeight="1" x14ac:dyDescent="0.25">
      <c r="A342" s="13">
        <v>323</v>
      </c>
      <c r="B342" s="41" t="s">
        <v>33</v>
      </c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</row>
    <row r="343" spans="1:20" ht="43.5" x14ac:dyDescent="0.25">
      <c r="A343" s="13">
        <v>324</v>
      </c>
      <c r="B343" s="14" t="s">
        <v>34</v>
      </c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</row>
    <row r="344" spans="1:20" x14ac:dyDescent="0.25">
      <c r="A344" s="13">
        <v>325</v>
      </c>
      <c r="B344" s="14" t="s">
        <v>22</v>
      </c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</row>
    <row r="345" spans="1:20" x14ac:dyDescent="0.25">
      <c r="A345" s="13">
        <v>326</v>
      </c>
      <c r="B345" s="14" t="s">
        <v>23</v>
      </c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</row>
    <row r="346" spans="1:20" ht="29.25" x14ac:dyDescent="0.25">
      <c r="A346" s="13">
        <v>327</v>
      </c>
      <c r="B346" s="14" t="s">
        <v>24</v>
      </c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</row>
    <row r="347" spans="1:20" ht="15.75" customHeight="1" x14ac:dyDescent="0.25">
      <c r="A347" s="13">
        <v>328</v>
      </c>
      <c r="B347" s="41" t="s">
        <v>35</v>
      </c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</row>
    <row r="348" spans="1:20" ht="42.75" customHeight="1" x14ac:dyDescent="0.25">
      <c r="A348" s="13">
        <v>329</v>
      </c>
      <c r="B348" s="14" t="s">
        <v>36</v>
      </c>
      <c r="C348" s="19">
        <f t="shared" ref="C348:C355" si="168">SUM(D348:S348)</f>
        <v>0</v>
      </c>
      <c r="D348" s="19">
        <f t="shared" ref="D348:S348" si="169">SUM(D349:D351)</f>
        <v>0</v>
      </c>
      <c r="E348" s="19">
        <f t="shared" si="169"/>
        <v>0</v>
      </c>
      <c r="F348" s="19">
        <f t="shared" si="169"/>
        <v>0</v>
      </c>
      <c r="G348" s="19">
        <f t="shared" si="169"/>
        <v>0</v>
      </c>
      <c r="H348" s="19">
        <f t="shared" si="169"/>
        <v>0</v>
      </c>
      <c r="I348" s="19">
        <f t="shared" si="169"/>
        <v>0</v>
      </c>
      <c r="J348" s="19">
        <f t="shared" si="169"/>
        <v>0</v>
      </c>
      <c r="K348" s="19">
        <f t="shared" si="169"/>
        <v>0</v>
      </c>
      <c r="L348" s="19">
        <f t="shared" si="169"/>
        <v>0</v>
      </c>
      <c r="M348" s="19">
        <f t="shared" si="169"/>
        <v>0</v>
      </c>
      <c r="N348" s="19">
        <f t="shared" si="169"/>
        <v>0</v>
      </c>
      <c r="O348" s="19">
        <f t="shared" si="169"/>
        <v>0</v>
      </c>
      <c r="P348" s="19">
        <f t="shared" si="169"/>
        <v>0</v>
      </c>
      <c r="Q348" s="19">
        <f t="shared" si="169"/>
        <v>0</v>
      </c>
      <c r="R348" s="19">
        <f t="shared" si="169"/>
        <v>0</v>
      </c>
      <c r="S348" s="19">
        <f t="shared" si="169"/>
        <v>0</v>
      </c>
      <c r="T348" s="18" t="s">
        <v>79</v>
      </c>
    </row>
    <row r="349" spans="1:20" x14ac:dyDescent="0.25">
      <c r="A349" s="13">
        <v>330</v>
      </c>
      <c r="B349" s="14" t="s">
        <v>22</v>
      </c>
      <c r="C349" s="19">
        <f t="shared" si="168"/>
        <v>0</v>
      </c>
      <c r="D349" s="19">
        <f t="shared" ref="D349:S349" si="170">D353</f>
        <v>0</v>
      </c>
      <c r="E349" s="19">
        <f t="shared" si="170"/>
        <v>0</v>
      </c>
      <c r="F349" s="19">
        <f t="shared" si="170"/>
        <v>0</v>
      </c>
      <c r="G349" s="19">
        <f t="shared" si="170"/>
        <v>0</v>
      </c>
      <c r="H349" s="19">
        <f t="shared" si="170"/>
        <v>0</v>
      </c>
      <c r="I349" s="19">
        <f t="shared" si="170"/>
        <v>0</v>
      </c>
      <c r="J349" s="19">
        <f t="shared" si="170"/>
        <v>0</v>
      </c>
      <c r="K349" s="19">
        <f t="shared" si="170"/>
        <v>0</v>
      </c>
      <c r="L349" s="19">
        <f t="shared" si="170"/>
        <v>0</v>
      </c>
      <c r="M349" s="19">
        <f t="shared" si="170"/>
        <v>0</v>
      </c>
      <c r="N349" s="19">
        <f t="shared" si="170"/>
        <v>0</v>
      </c>
      <c r="O349" s="19">
        <f t="shared" si="170"/>
        <v>0</v>
      </c>
      <c r="P349" s="19">
        <f t="shared" si="170"/>
        <v>0</v>
      </c>
      <c r="Q349" s="19">
        <f t="shared" si="170"/>
        <v>0</v>
      </c>
      <c r="R349" s="19">
        <f t="shared" si="170"/>
        <v>0</v>
      </c>
      <c r="S349" s="19">
        <f t="shared" si="170"/>
        <v>0</v>
      </c>
      <c r="T349" s="19"/>
    </row>
    <row r="350" spans="1:20" x14ac:dyDescent="0.25">
      <c r="A350" s="13">
        <v>331</v>
      </c>
      <c r="B350" s="14" t="s">
        <v>23</v>
      </c>
      <c r="C350" s="19">
        <f t="shared" si="168"/>
        <v>0</v>
      </c>
      <c r="D350" s="19">
        <f t="shared" ref="D350:S350" si="171">D354</f>
        <v>0</v>
      </c>
      <c r="E350" s="19">
        <f t="shared" si="171"/>
        <v>0</v>
      </c>
      <c r="F350" s="19">
        <f t="shared" si="171"/>
        <v>0</v>
      </c>
      <c r="G350" s="19">
        <f t="shared" si="171"/>
        <v>0</v>
      </c>
      <c r="H350" s="19">
        <f t="shared" si="171"/>
        <v>0</v>
      </c>
      <c r="I350" s="19">
        <f t="shared" si="171"/>
        <v>0</v>
      </c>
      <c r="J350" s="19">
        <f t="shared" si="171"/>
        <v>0</v>
      </c>
      <c r="K350" s="19">
        <f t="shared" si="171"/>
        <v>0</v>
      </c>
      <c r="L350" s="19">
        <f t="shared" si="171"/>
        <v>0</v>
      </c>
      <c r="M350" s="19">
        <f t="shared" si="171"/>
        <v>0</v>
      </c>
      <c r="N350" s="19">
        <f t="shared" si="171"/>
        <v>0</v>
      </c>
      <c r="O350" s="19">
        <f t="shared" si="171"/>
        <v>0</v>
      </c>
      <c r="P350" s="19">
        <f t="shared" si="171"/>
        <v>0</v>
      </c>
      <c r="Q350" s="19">
        <f t="shared" si="171"/>
        <v>0</v>
      </c>
      <c r="R350" s="19">
        <f t="shared" si="171"/>
        <v>0</v>
      </c>
      <c r="S350" s="19">
        <f t="shared" si="171"/>
        <v>0</v>
      </c>
      <c r="T350" s="19"/>
    </row>
    <row r="351" spans="1:20" ht="29.25" x14ac:dyDescent="0.25">
      <c r="A351" s="13">
        <v>332</v>
      </c>
      <c r="B351" s="14" t="s">
        <v>24</v>
      </c>
      <c r="C351" s="19">
        <f t="shared" si="168"/>
        <v>0</v>
      </c>
      <c r="D351" s="19">
        <f t="shared" ref="D351:S351" si="172">D355</f>
        <v>0</v>
      </c>
      <c r="E351" s="19">
        <f t="shared" si="172"/>
        <v>0</v>
      </c>
      <c r="F351" s="19">
        <f t="shared" si="172"/>
        <v>0</v>
      </c>
      <c r="G351" s="19">
        <f t="shared" si="172"/>
        <v>0</v>
      </c>
      <c r="H351" s="19">
        <f t="shared" si="172"/>
        <v>0</v>
      </c>
      <c r="I351" s="19">
        <f t="shared" si="172"/>
        <v>0</v>
      </c>
      <c r="J351" s="19">
        <f t="shared" si="172"/>
        <v>0</v>
      </c>
      <c r="K351" s="19">
        <f t="shared" si="172"/>
        <v>0</v>
      </c>
      <c r="L351" s="19">
        <f t="shared" si="172"/>
        <v>0</v>
      </c>
      <c r="M351" s="19">
        <f t="shared" si="172"/>
        <v>0</v>
      </c>
      <c r="N351" s="19">
        <f t="shared" si="172"/>
        <v>0</v>
      </c>
      <c r="O351" s="19">
        <f t="shared" si="172"/>
        <v>0</v>
      </c>
      <c r="P351" s="19">
        <f t="shared" si="172"/>
        <v>0</v>
      </c>
      <c r="Q351" s="19">
        <f t="shared" si="172"/>
        <v>0</v>
      </c>
      <c r="R351" s="19">
        <f t="shared" si="172"/>
        <v>0</v>
      </c>
      <c r="S351" s="19">
        <f t="shared" si="172"/>
        <v>0</v>
      </c>
      <c r="T351" s="19"/>
    </row>
    <row r="352" spans="1:20" ht="184.5" customHeight="1" x14ac:dyDescent="0.25">
      <c r="A352" s="13">
        <v>333</v>
      </c>
      <c r="B352" s="38" t="s">
        <v>124</v>
      </c>
      <c r="C352" s="19">
        <f t="shared" si="168"/>
        <v>0</v>
      </c>
      <c r="D352" s="19">
        <v>0</v>
      </c>
      <c r="E352" s="19">
        <v>0</v>
      </c>
      <c r="F352" s="19">
        <v>0</v>
      </c>
      <c r="G352" s="19">
        <f>G353+G354+G355</f>
        <v>0</v>
      </c>
      <c r="H352" s="19">
        <v>0</v>
      </c>
      <c r="I352" s="19">
        <v>0</v>
      </c>
      <c r="J352" s="19">
        <v>0</v>
      </c>
      <c r="K352" s="19">
        <v>0</v>
      </c>
      <c r="L352" s="19">
        <v>0</v>
      </c>
      <c r="M352" s="19">
        <v>0</v>
      </c>
      <c r="N352" s="19">
        <v>0</v>
      </c>
      <c r="O352" s="19">
        <v>0</v>
      </c>
      <c r="P352" s="19">
        <v>0</v>
      </c>
      <c r="Q352" s="19">
        <v>0</v>
      </c>
      <c r="R352" s="19">
        <v>0</v>
      </c>
      <c r="S352" s="19">
        <v>0</v>
      </c>
      <c r="T352" s="18" t="s">
        <v>79</v>
      </c>
    </row>
    <row r="353" spans="1:20" x14ac:dyDescent="0.25">
      <c r="A353" s="13">
        <v>334</v>
      </c>
      <c r="B353" s="14" t="s">
        <v>22</v>
      </c>
      <c r="C353" s="19">
        <f t="shared" si="168"/>
        <v>0</v>
      </c>
      <c r="D353" s="19">
        <v>0</v>
      </c>
      <c r="E353" s="19">
        <v>0</v>
      </c>
      <c r="F353" s="19">
        <v>0</v>
      </c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5"/>
    </row>
    <row r="354" spans="1:20" x14ac:dyDescent="0.25">
      <c r="A354" s="13">
        <v>335</v>
      </c>
      <c r="B354" s="14" t="s">
        <v>23</v>
      </c>
      <c r="C354" s="19">
        <f t="shared" si="168"/>
        <v>0</v>
      </c>
      <c r="D354" s="19">
        <v>0</v>
      </c>
      <c r="E354" s="22">
        <v>0</v>
      </c>
      <c r="F354" s="22">
        <v>0</v>
      </c>
      <c r="G354" s="19">
        <v>0</v>
      </c>
      <c r="H354" s="19">
        <v>0</v>
      </c>
      <c r="I354" s="19">
        <v>0</v>
      </c>
      <c r="J354" s="19">
        <v>0</v>
      </c>
      <c r="K354" s="19">
        <v>0</v>
      </c>
      <c r="L354" s="19">
        <v>0</v>
      </c>
      <c r="M354" s="19">
        <v>0</v>
      </c>
      <c r="N354" s="19">
        <v>0</v>
      </c>
      <c r="O354" s="19">
        <v>0</v>
      </c>
      <c r="P354" s="19">
        <v>0</v>
      </c>
      <c r="Q354" s="19">
        <v>0</v>
      </c>
      <c r="R354" s="19">
        <v>0</v>
      </c>
      <c r="S354" s="19">
        <v>0</v>
      </c>
      <c r="T354" s="15"/>
    </row>
    <row r="355" spans="1:20" ht="29.25" x14ac:dyDescent="0.25">
      <c r="A355" s="13">
        <v>336</v>
      </c>
      <c r="B355" s="14" t="s">
        <v>24</v>
      </c>
      <c r="C355" s="19">
        <f t="shared" si="168"/>
        <v>0</v>
      </c>
      <c r="D355" s="19">
        <v>0</v>
      </c>
      <c r="E355" s="19">
        <v>0</v>
      </c>
      <c r="F355" s="19">
        <v>0</v>
      </c>
      <c r="G355" s="19">
        <v>0</v>
      </c>
      <c r="H355" s="19">
        <v>0</v>
      </c>
      <c r="I355" s="19">
        <v>0</v>
      </c>
      <c r="J355" s="19">
        <v>0</v>
      </c>
      <c r="K355" s="19">
        <v>0</v>
      </c>
      <c r="L355" s="19">
        <v>0</v>
      </c>
      <c r="M355" s="19">
        <v>0</v>
      </c>
      <c r="N355" s="19">
        <v>0</v>
      </c>
      <c r="O355" s="19">
        <v>0</v>
      </c>
      <c r="P355" s="19">
        <v>0</v>
      </c>
      <c r="Q355" s="19">
        <v>0</v>
      </c>
      <c r="R355" s="19">
        <v>0</v>
      </c>
      <c r="S355" s="19">
        <v>0</v>
      </c>
      <c r="T355" s="15"/>
    </row>
    <row r="356" spans="1:20" x14ac:dyDescent="0.25">
      <c r="A356" s="8"/>
      <c r="B356" s="39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</row>
    <row r="357" spans="1:20" x14ac:dyDescent="0.25">
      <c r="A357" s="8"/>
      <c r="B357" s="39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</row>
    <row r="358" spans="1:20" x14ac:dyDescent="0.25">
      <c r="A358" s="8"/>
      <c r="B358" s="39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</row>
    <row r="359" spans="1:20" x14ac:dyDescent="0.25">
      <c r="A359" s="8"/>
      <c r="B359" s="39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</row>
    <row r="360" spans="1:20" x14ac:dyDescent="0.25">
      <c r="A360" s="8"/>
      <c r="B360" s="39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</row>
    <row r="361" spans="1:20" x14ac:dyDescent="0.25">
      <c r="A361" s="8"/>
      <c r="B361" s="39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</row>
    <row r="362" spans="1:20" x14ac:dyDescent="0.25">
      <c r="A362" s="8"/>
      <c r="B362" s="39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</row>
    <row r="363" spans="1:20" x14ac:dyDescent="0.25">
      <c r="A363" s="8"/>
      <c r="B363" s="39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</row>
    <row r="364" spans="1:20" x14ac:dyDescent="0.25">
      <c r="A364" s="8"/>
      <c r="B364" s="39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</row>
    <row r="365" spans="1:20" x14ac:dyDescent="0.25">
      <c r="A365" s="8"/>
      <c r="B365" s="39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</row>
    <row r="366" spans="1:20" x14ac:dyDescent="0.25">
      <c r="A366" s="8"/>
      <c r="B366" s="39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</row>
    <row r="367" spans="1:20" x14ac:dyDescent="0.25">
      <c r="A367" s="8"/>
      <c r="B367" s="39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</row>
    <row r="368" spans="1:20" x14ac:dyDescent="0.25">
      <c r="A368" s="8"/>
      <c r="B368" s="39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</row>
    <row r="369" spans="1:20" x14ac:dyDescent="0.25">
      <c r="A369" s="8"/>
      <c r="B369" s="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</row>
    <row r="370" spans="1:20" x14ac:dyDescent="0.25">
      <c r="A370" s="8"/>
      <c r="B370" s="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</row>
    <row r="371" spans="1:20" x14ac:dyDescent="0.25">
      <c r="A371" s="8"/>
      <c r="B371" s="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</row>
    <row r="372" spans="1:20" x14ac:dyDescent="0.25">
      <c r="A372" s="8"/>
      <c r="B372" s="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</row>
    <row r="373" spans="1:20" x14ac:dyDescent="0.25">
      <c r="A373" s="8"/>
      <c r="B373" s="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</row>
    <row r="374" spans="1:20" x14ac:dyDescent="0.25">
      <c r="A374" s="8"/>
      <c r="B374" s="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</row>
    <row r="375" spans="1:20" x14ac:dyDescent="0.25">
      <c r="A375" s="8"/>
      <c r="B375" s="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</row>
    <row r="376" spans="1:20" x14ac:dyDescent="0.25">
      <c r="A376" s="8"/>
      <c r="B376" s="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</row>
    <row r="377" spans="1:20" x14ac:dyDescent="0.25">
      <c r="A377" s="8"/>
      <c r="B377" s="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</row>
    <row r="378" spans="1:20" x14ac:dyDescent="0.25">
      <c r="A378" s="8"/>
      <c r="B378" s="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</row>
    <row r="379" spans="1:20" x14ac:dyDescent="0.25">
      <c r="A379" s="8"/>
      <c r="B379" s="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</row>
    <row r="380" spans="1:20" x14ac:dyDescent="0.25">
      <c r="A380" s="8"/>
      <c r="B380" s="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</row>
    <row r="381" spans="1:20" x14ac:dyDescent="0.25">
      <c r="A381" s="8"/>
      <c r="B381" s="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</row>
    <row r="382" spans="1:20" x14ac:dyDescent="0.25">
      <c r="A382" s="8"/>
      <c r="B382" s="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</row>
    <row r="383" spans="1:20" x14ac:dyDescent="0.25">
      <c r="A383" s="8"/>
      <c r="B383" s="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</row>
    <row r="384" spans="1:20" x14ac:dyDescent="0.25">
      <c r="A384" s="8"/>
      <c r="B384" s="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</row>
    <row r="385" spans="1:20" x14ac:dyDescent="0.25">
      <c r="A385" s="8"/>
      <c r="B385" s="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</row>
    <row r="386" spans="1:20" x14ac:dyDescent="0.25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</row>
    <row r="387" spans="1:20" x14ac:dyDescent="0.25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</row>
    <row r="388" spans="1:20" x14ac:dyDescent="0.25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</row>
    <row r="389" spans="1:20" x14ac:dyDescent="0.25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</row>
    <row r="390" spans="1:20" x14ac:dyDescent="0.25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</row>
    <row r="391" spans="1:20" x14ac:dyDescent="0.25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</row>
    <row r="392" spans="1:20" x14ac:dyDescent="0.25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</row>
    <row r="393" spans="1:20" x14ac:dyDescent="0.25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</row>
    <row r="394" spans="1:20" x14ac:dyDescent="0.25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</row>
    <row r="395" spans="1:20" x14ac:dyDescent="0.2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</row>
    <row r="396" spans="1:20" x14ac:dyDescent="0.25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</row>
    <row r="397" spans="1:20" x14ac:dyDescent="0.25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</row>
    <row r="398" spans="1:20" x14ac:dyDescent="0.25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</row>
    <row r="399" spans="1:20" x14ac:dyDescent="0.25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</row>
  </sheetData>
  <sheetProtection selectLockedCells="1" selectUnlockedCells="1"/>
  <mergeCells count="47">
    <mergeCell ref="P1:T1"/>
    <mergeCell ref="P2:T2"/>
    <mergeCell ref="P3:T3"/>
    <mergeCell ref="P7:T7"/>
    <mergeCell ref="P4:T4"/>
    <mergeCell ref="P5:T5"/>
    <mergeCell ref="P6:T6"/>
    <mergeCell ref="A10:T10"/>
    <mergeCell ref="A13:A14"/>
    <mergeCell ref="B13:B14"/>
    <mergeCell ref="C13:S13"/>
    <mergeCell ref="T13:T14"/>
    <mergeCell ref="B30:T30"/>
    <mergeCell ref="B36:T36"/>
    <mergeCell ref="B41:T41"/>
    <mergeCell ref="B46:T46"/>
    <mergeCell ref="B51:T51"/>
    <mergeCell ref="B134:T134"/>
    <mergeCell ref="B139:T139"/>
    <mergeCell ref="B144:T144"/>
    <mergeCell ref="B149:T149"/>
    <mergeCell ref="B154:T154"/>
    <mergeCell ref="B245:T245"/>
    <mergeCell ref="B250:T250"/>
    <mergeCell ref="B259:T259"/>
    <mergeCell ref="B264:T264"/>
    <mergeCell ref="B186:T186"/>
    <mergeCell ref="B191:T191"/>
    <mergeCell ref="B196:T196"/>
    <mergeCell ref="B201:T201"/>
    <mergeCell ref="B235:T235"/>
    <mergeCell ref="P8:T8"/>
    <mergeCell ref="B342:T342"/>
    <mergeCell ref="B347:T347"/>
    <mergeCell ref="A11:T11"/>
    <mergeCell ref="B303:T303"/>
    <mergeCell ref="B308:T308"/>
    <mergeCell ref="B313:T313"/>
    <mergeCell ref="B318:T318"/>
    <mergeCell ref="B327:T327"/>
    <mergeCell ref="B332:T332"/>
    <mergeCell ref="B269:T269"/>
    <mergeCell ref="B274:T274"/>
    <mergeCell ref="B279:T279"/>
    <mergeCell ref="B298:T298"/>
    <mergeCell ref="B337:T337"/>
    <mergeCell ref="B240:T240"/>
  </mergeCells>
  <printOptions horizontalCentered="1"/>
  <pageMargins left="0.31496062992125984" right="7.874015748031496E-2" top="0.59055118110236227" bottom="0.59055118110236227" header="0.11811023622047245" footer="0.51181102362204722"/>
  <pageSetup paperSize="9" scale="42" firstPageNumber="5" fitToHeight="0" orientation="landscape" useFirstPageNumber="1" horizontalDpi="300" verticalDpi="300" r:id="rId1"/>
  <headerFooter alignWithMargins="0">
    <oddHeader>&amp;C&amp;"Times New Roman,Обычный"&amp;20&amp;P</oddHeader>
  </headerFooter>
  <rowBreaks count="1" manualBreakCount="1">
    <brk id="2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2025-02-28T03:33:33Z</cp:lastPrinted>
  <dcterms:created xsi:type="dcterms:W3CDTF">2024-05-13T10:24:30Z</dcterms:created>
  <dcterms:modified xsi:type="dcterms:W3CDTF">2025-02-28T03:33:36Z</dcterms:modified>
</cp:coreProperties>
</file>