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398D506-0AE1-4214-8F38-242C66C8190C}" xr6:coauthVersionLast="37" xr6:coauthVersionMax="37" xr10:uidLastSave="{00000000-0000-0000-0000-000000000000}"/>
  <bookViews>
    <workbookView xWindow="0" yWindow="0" windowWidth="28800" windowHeight="12375" xr2:uid="{00000000-000D-0000-FFFF-FFFF00000000}"/>
  </bookViews>
  <sheets>
    <sheet name="план мероприятий" sheetId="9" r:id="rId1"/>
  </sheets>
  <definedNames>
    <definedName name="_xlnm.Print_Area" localSheetId="0">'план мероприятий'!$A$2:$T$438</definedName>
  </definedNames>
  <calcPr calcId="179021"/>
</workbook>
</file>

<file path=xl/calcChain.xml><?xml version="1.0" encoding="utf-8"?>
<calcChain xmlns="http://schemas.openxmlformats.org/spreadsheetml/2006/main">
  <c r="P33" i="9" l="1"/>
  <c r="P32" i="9"/>
  <c r="O33" i="9"/>
  <c r="O32" i="9"/>
  <c r="N298" i="9"/>
  <c r="N108" i="9"/>
  <c r="N170" i="9"/>
  <c r="N109" i="9" s="1"/>
  <c r="M359" i="9" l="1"/>
  <c r="M78" i="9"/>
  <c r="M43" i="9" l="1"/>
  <c r="M49" i="9"/>
  <c r="C94" i="9" l="1"/>
  <c r="C95" i="9"/>
  <c r="C96" i="9"/>
  <c r="C97" i="9"/>
  <c r="E93" i="9"/>
  <c r="F93" i="9"/>
  <c r="G93" i="9"/>
  <c r="H93" i="9"/>
  <c r="I93" i="9"/>
  <c r="J93" i="9"/>
  <c r="K93" i="9"/>
  <c r="L93" i="9"/>
  <c r="M93" i="9"/>
  <c r="N93" i="9"/>
  <c r="O93" i="9"/>
  <c r="P93" i="9"/>
  <c r="Q93" i="9"/>
  <c r="R93" i="9"/>
  <c r="S93" i="9"/>
  <c r="D93" i="9"/>
  <c r="C93" i="9" l="1"/>
  <c r="M196" i="9"/>
  <c r="M113" i="9"/>
  <c r="C436" i="9" l="1"/>
  <c r="C433" i="9"/>
  <c r="C415" i="9"/>
  <c r="C416" i="9"/>
  <c r="C417" i="9"/>
  <c r="C418" i="9"/>
  <c r="C410" i="9"/>
  <c r="C411" i="9"/>
  <c r="C413" i="9"/>
  <c r="C405" i="9"/>
  <c r="C408" i="9"/>
  <c r="C404" i="9"/>
  <c r="C400" i="9"/>
  <c r="C402" i="9"/>
  <c r="C399" i="9"/>
  <c r="C395" i="9"/>
  <c r="C397" i="9"/>
  <c r="C394" i="9"/>
  <c r="C390" i="9"/>
  <c r="C391" i="9"/>
  <c r="C392" i="9"/>
  <c r="C389" i="9"/>
  <c r="C386" i="9"/>
  <c r="C380" i="9"/>
  <c r="C381" i="9"/>
  <c r="C379" i="9"/>
  <c r="C378" i="9"/>
  <c r="C375" i="9"/>
  <c r="C376" i="9"/>
  <c r="C374" i="9"/>
  <c r="C369" i="9"/>
  <c r="C371" i="9"/>
  <c r="C368" i="9"/>
  <c r="C364" i="9"/>
  <c r="C366" i="9"/>
  <c r="C363" i="9"/>
  <c r="C353" i="9"/>
  <c r="C354" i="9"/>
  <c r="C355" i="9"/>
  <c r="C352" i="9"/>
  <c r="C351" i="9"/>
  <c r="C347" i="9"/>
  <c r="C348" i="9"/>
  <c r="C349" i="9"/>
  <c r="C346" i="9"/>
  <c r="C340" i="9"/>
  <c r="C341" i="9"/>
  <c r="C342" i="9"/>
  <c r="C339" i="9"/>
  <c r="C328" i="9"/>
  <c r="C329" i="9"/>
  <c r="C330" i="9"/>
  <c r="C327" i="9"/>
  <c r="C324" i="9"/>
  <c r="C325" i="9"/>
  <c r="C322" i="9"/>
  <c r="C318" i="9"/>
  <c r="C319" i="9"/>
  <c r="C320" i="9"/>
  <c r="C317" i="9"/>
  <c r="C313" i="9"/>
  <c r="C314" i="9"/>
  <c r="C315" i="9"/>
  <c r="C312" i="9"/>
  <c r="C308" i="9"/>
  <c r="C310" i="9"/>
  <c r="C307" i="9"/>
  <c r="C302" i="9"/>
  <c r="C286" i="9"/>
  <c r="C287" i="9"/>
  <c r="C284" i="9"/>
  <c r="C279" i="9"/>
  <c r="C280" i="9"/>
  <c r="C282" i="9"/>
  <c r="C275" i="9"/>
  <c r="C276" i="9"/>
  <c r="C277" i="9"/>
  <c r="C274" i="9"/>
  <c r="C270" i="9"/>
  <c r="C272" i="9"/>
  <c r="C269" i="9"/>
  <c r="C267" i="9"/>
  <c r="C264" i="9"/>
  <c r="C260" i="9"/>
  <c r="C261" i="9"/>
  <c r="C262" i="9"/>
  <c r="C259" i="9"/>
  <c r="C258" i="9"/>
  <c r="C257" i="9"/>
  <c r="C254" i="9"/>
  <c r="C249" i="9"/>
  <c r="C250" i="9"/>
  <c r="C251" i="9"/>
  <c r="C248" i="9"/>
  <c r="C244" i="9"/>
  <c r="C246" i="9"/>
  <c r="C243" i="9"/>
  <c r="C239" i="9"/>
  <c r="C240" i="9"/>
  <c r="C241" i="9"/>
  <c r="C238" i="9"/>
  <c r="C234" i="9"/>
  <c r="C235" i="9"/>
  <c r="C236" i="9"/>
  <c r="C233" i="9"/>
  <c r="C229" i="9"/>
  <c r="C231" i="9"/>
  <c r="C228" i="9"/>
  <c r="C224" i="9"/>
  <c r="C226" i="9"/>
  <c r="C223" i="9"/>
  <c r="C207" i="9"/>
  <c r="C209" i="9"/>
  <c r="C206" i="9"/>
  <c r="C201" i="9"/>
  <c r="C203" i="9"/>
  <c r="C200" i="9"/>
  <c r="C196" i="9"/>
  <c r="C198" i="9"/>
  <c r="C195" i="9"/>
  <c r="C191" i="9"/>
  <c r="C193" i="9"/>
  <c r="C190" i="9"/>
  <c r="C176" i="9"/>
  <c r="C175" i="9"/>
  <c r="C174" i="9"/>
  <c r="C173" i="9"/>
  <c r="C171" i="9"/>
  <c r="C168" i="9"/>
  <c r="C166" i="9"/>
  <c r="C164" i="9"/>
  <c r="C163" i="9"/>
  <c r="C161" i="9"/>
  <c r="C159" i="9"/>
  <c r="C158" i="9"/>
  <c r="C156" i="9"/>
  <c r="C154" i="9"/>
  <c r="C153" i="9"/>
  <c r="C150" i="9"/>
  <c r="C147" i="9"/>
  <c r="C143" i="9"/>
  <c r="C145" i="9"/>
  <c r="C142" i="9"/>
  <c r="C138" i="9"/>
  <c r="C139" i="9"/>
  <c r="C140" i="9"/>
  <c r="C137" i="9"/>
  <c r="C133" i="9"/>
  <c r="C135" i="9"/>
  <c r="C132" i="9"/>
  <c r="C130" i="9"/>
  <c r="C127" i="9"/>
  <c r="C123" i="9"/>
  <c r="C124" i="9"/>
  <c r="C125" i="9"/>
  <c r="C122" i="9"/>
  <c r="C118" i="9"/>
  <c r="C120" i="9"/>
  <c r="C117" i="9"/>
  <c r="C113" i="9"/>
  <c r="C112" i="9"/>
  <c r="C90" i="9"/>
  <c r="C91" i="9"/>
  <c r="C92" i="9"/>
  <c r="C89" i="9"/>
  <c r="C85" i="9"/>
  <c r="C87" i="9"/>
  <c r="C84" i="9"/>
  <c r="C81" i="9"/>
  <c r="C82" i="9"/>
  <c r="C79" i="9"/>
  <c r="C76" i="9"/>
  <c r="C74" i="9"/>
  <c r="C70" i="9"/>
  <c r="C72" i="9"/>
  <c r="C69" i="9"/>
  <c r="C66" i="9"/>
  <c r="C64" i="9"/>
  <c r="C53" i="9"/>
  <c r="C36" i="9"/>
  <c r="C13" i="9"/>
  <c r="C14" i="9"/>
  <c r="C15" i="9"/>
  <c r="C16" i="9"/>
  <c r="C17" i="9"/>
  <c r="P430" i="9"/>
  <c r="P427" i="9" s="1"/>
  <c r="P421" i="9" s="1"/>
  <c r="Q430" i="9"/>
  <c r="Q427" i="9" s="1"/>
  <c r="Q421" i="9" s="1"/>
  <c r="R430" i="9"/>
  <c r="R427" i="9" s="1"/>
  <c r="R421" i="9" s="1"/>
  <c r="S430" i="9"/>
  <c r="S427" i="9" s="1"/>
  <c r="S421" i="9" s="1"/>
  <c r="P432" i="9"/>
  <c r="Q432" i="9"/>
  <c r="R432" i="9"/>
  <c r="S432" i="9"/>
  <c r="P422" i="9"/>
  <c r="Q422" i="9"/>
  <c r="R422" i="9"/>
  <c r="S422" i="9"/>
  <c r="P423" i="9"/>
  <c r="Q423" i="9"/>
  <c r="R423" i="9"/>
  <c r="S423" i="9"/>
  <c r="P424" i="9"/>
  <c r="Q424" i="9"/>
  <c r="R424" i="9"/>
  <c r="S424" i="9"/>
  <c r="P425" i="9"/>
  <c r="Q425" i="9"/>
  <c r="R425" i="9"/>
  <c r="S425" i="9"/>
  <c r="P358" i="9"/>
  <c r="Q358" i="9"/>
  <c r="R358" i="9"/>
  <c r="S358" i="9"/>
  <c r="P359" i="9"/>
  <c r="Q359" i="9"/>
  <c r="R359" i="9"/>
  <c r="S359" i="9"/>
  <c r="P360" i="9"/>
  <c r="Q360" i="9"/>
  <c r="R360" i="9"/>
  <c r="S360" i="9"/>
  <c r="P361" i="9"/>
  <c r="Q361" i="9"/>
  <c r="R361" i="9"/>
  <c r="S361" i="9"/>
  <c r="P362" i="9"/>
  <c r="Q362" i="9"/>
  <c r="R362" i="9"/>
  <c r="S362" i="9"/>
  <c r="P367" i="9"/>
  <c r="Q367" i="9"/>
  <c r="R367" i="9"/>
  <c r="S367" i="9"/>
  <c r="P382" i="9"/>
  <c r="Q382" i="9"/>
  <c r="R382" i="9"/>
  <c r="S382" i="9"/>
  <c r="P388" i="9"/>
  <c r="Q388" i="9"/>
  <c r="R388" i="9"/>
  <c r="S388" i="9"/>
  <c r="P393" i="9"/>
  <c r="Q393" i="9"/>
  <c r="R393" i="9"/>
  <c r="S393" i="9"/>
  <c r="P398" i="9"/>
  <c r="Q398" i="9"/>
  <c r="R398" i="9"/>
  <c r="S398" i="9"/>
  <c r="P403" i="9"/>
  <c r="Q403" i="9"/>
  <c r="R403" i="9"/>
  <c r="S403" i="9"/>
  <c r="P409" i="9"/>
  <c r="Q409" i="9"/>
  <c r="R409" i="9"/>
  <c r="S409" i="9"/>
  <c r="P414" i="9"/>
  <c r="Q414" i="9"/>
  <c r="R414" i="9"/>
  <c r="S414" i="9"/>
  <c r="P338" i="9"/>
  <c r="Q338" i="9"/>
  <c r="R338" i="9"/>
  <c r="S338" i="9"/>
  <c r="P333" i="9"/>
  <c r="Q333" i="9"/>
  <c r="R333" i="9"/>
  <c r="S333" i="9"/>
  <c r="P334" i="9"/>
  <c r="Q334" i="9"/>
  <c r="R334" i="9"/>
  <c r="S334" i="9"/>
  <c r="P335" i="9"/>
  <c r="Q335" i="9"/>
  <c r="R335" i="9"/>
  <c r="S335" i="9"/>
  <c r="P336" i="9"/>
  <c r="Q336" i="9"/>
  <c r="R336" i="9"/>
  <c r="S336" i="9"/>
  <c r="P296" i="9"/>
  <c r="Q296" i="9"/>
  <c r="R296" i="9"/>
  <c r="S296" i="9"/>
  <c r="P297" i="9"/>
  <c r="Q297" i="9"/>
  <c r="R297" i="9"/>
  <c r="S297" i="9"/>
  <c r="P298" i="9"/>
  <c r="Q298" i="9"/>
  <c r="R298" i="9"/>
  <c r="S298" i="9"/>
  <c r="P299" i="9"/>
  <c r="Q299" i="9"/>
  <c r="R299" i="9"/>
  <c r="S299" i="9"/>
  <c r="P301" i="9"/>
  <c r="Q301" i="9"/>
  <c r="R301" i="9"/>
  <c r="S301" i="9"/>
  <c r="P311" i="9"/>
  <c r="Q311" i="9"/>
  <c r="R311" i="9"/>
  <c r="S311" i="9"/>
  <c r="P316" i="9"/>
  <c r="Q316" i="9"/>
  <c r="R316" i="9"/>
  <c r="S316" i="9"/>
  <c r="P321" i="9"/>
  <c r="Q321" i="9"/>
  <c r="R321" i="9"/>
  <c r="S321" i="9"/>
  <c r="P326" i="9"/>
  <c r="Q326" i="9"/>
  <c r="R326" i="9"/>
  <c r="S326" i="9"/>
  <c r="P290" i="9"/>
  <c r="Q290" i="9"/>
  <c r="R290" i="9"/>
  <c r="S290" i="9"/>
  <c r="P291" i="9"/>
  <c r="Q291" i="9"/>
  <c r="R291" i="9"/>
  <c r="S291" i="9"/>
  <c r="P292" i="9"/>
  <c r="Q292" i="9"/>
  <c r="R292" i="9"/>
  <c r="S292" i="9"/>
  <c r="P293" i="9"/>
  <c r="Q293" i="9"/>
  <c r="R293" i="9"/>
  <c r="S293" i="9"/>
  <c r="P218" i="9"/>
  <c r="Q218" i="9"/>
  <c r="R218" i="9"/>
  <c r="R212" i="9" s="1"/>
  <c r="S218" i="9"/>
  <c r="S212" i="9" s="1"/>
  <c r="P219" i="9"/>
  <c r="Q219" i="9"/>
  <c r="Q213" i="9" s="1"/>
  <c r="R219" i="9"/>
  <c r="R213" i="9" s="1"/>
  <c r="S219" i="9"/>
  <c r="P220" i="9"/>
  <c r="Q220" i="9"/>
  <c r="R220" i="9"/>
  <c r="R214" i="9" s="1"/>
  <c r="S220" i="9"/>
  <c r="S214" i="9" s="1"/>
  <c r="P221" i="9"/>
  <c r="Q221" i="9"/>
  <c r="Q215" i="9" s="1"/>
  <c r="R221" i="9"/>
  <c r="R215" i="9" s="1"/>
  <c r="S221" i="9"/>
  <c r="S215" i="9" s="1"/>
  <c r="P222" i="9"/>
  <c r="Q222" i="9"/>
  <c r="R222" i="9"/>
  <c r="S222" i="9"/>
  <c r="P227" i="9"/>
  <c r="Q227" i="9"/>
  <c r="R227" i="9"/>
  <c r="S227" i="9"/>
  <c r="P232" i="9"/>
  <c r="Q232" i="9"/>
  <c r="R232" i="9"/>
  <c r="S232" i="9"/>
  <c r="P237" i="9"/>
  <c r="Q237" i="9"/>
  <c r="R237" i="9"/>
  <c r="S237" i="9"/>
  <c r="P242" i="9"/>
  <c r="Q242" i="9"/>
  <c r="R242" i="9"/>
  <c r="S242" i="9"/>
  <c r="P247" i="9"/>
  <c r="Q247" i="9"/>
  <c r="R247" i="9"/>
  <c r="S247" i="9"/>
  <c r="P253" i="9"/>
  <c r="Q253" i="9"/>
  <c r="R253" i="9"/>
  <c r="S253" i="9"/>
  <c r="P263" i="9"/>
  <c r="Q263" i="9"/>
  <c r="R263" i="9"/>
  <c r="S263" i="9"/>
  <c r="P268" i="9"/>
  <c r="Q268" i="9"/>
  <c r="R268" i="9"/>
  <c r="S268" i="9"/>
  <c r="P278" i="9"/>
  <c r="Q278" i="9"/>
  <c r="R278" i="9"/>
  <c r="S278" i="9"/>
  <c r="P283" i="9"/>
  <c r="Q283" i="9"/>
  <c r="R283" i="9"/>
  <c r="S283" i="9"/>
  <c r="P212" i="9"/>
  <c r="P213" i="9"/>
  <c r="S213" i="9"/>
  <c r="P214" i="9"/>
  <c r="Q214" i="9"/>
  <c r="P215" i="9"/>
  <c r="P185" i="9"/>
  <c r="Q185" i="9"/>
  <c r="R185" i="9"/>
  <c r="S185" i="9"/>
  <c r="P186" i="9"/>
  <c r="Q186" i="9"/>
  <c r="R186" i="9"/>
  <c r="S186" i="9"/>
  <c r="P188" i="9"/>
  <c r="Q188" i="9"/>
  <c r="R188" i="9"/>
  <c r="S188" i="9"/>
  <c r="P189" i="9"/>
  <c r="Q189" i="9"/>
  <c r="R189" i="9"/>
  <c r="S189" i="9"/>
  <c r="P194" i="9"/>
  <c r="Q194" i="9"/>
  <c r="R194" i="9"/>
  <c r="S194" i="9"/>
  <c r="P202" i="9"/>
  <c r="P187" i="9" s="1"/>
  <c r="P181" i="9" s="1"/>
  <c r="Q202" i="9"/>
  <c r="Q187" i="9" s="1"/>
  <c r="Q181" i="9" s="1"/>
  <c r="R202" i="9"/>
  <c r="R199" i="9" s="1"/>
  <c r="S202" i="9"/>
  <c r="S187" i="9" s="1"/>
  <c r="S181" i="9" s="1"/>
  <c r="P205" i="9"/>
  <c r="Q205" i="9"/>
  <c r="R205" i="9"/>
  <c r="S205" i="9"/>
  <c r="P179" i="9"/>
  <c r="Q179" i="9"/>
  <c r="R179" i="9"/>
  <c r="S179" i="9"/>
  <c r="P180" i="9"/>
  <c r="Q180" i="9"/>
  <c r="R180" i="9"/>
  <c r="S180" i="9"/>
  <c r="P182" i="9"/>
  <c r="Q182" i="9"/>
  <c r="R182" i="9"/>
  <c r="S182" i="9"/>
  <c r="P107" i="9"/>
  <c r="Q107" i="9"/>
  <c r="R107" i="9"/>
  <c r="S107" i="9"/>
  <c r="P108" i="9"/>
  <c r="Q108" i="9"/>
  <c r="R108" i="9"/>
  <c r="S108" i="9"/>
  <c r="P109" i="9"/>
  <c r="Q109" i="9"/>
  <c r="Q103" i="9" s="1"/>
  <c r="R109" i="9"/>
  <c r="R103" i="9" s="1"/>
  <c r="S109" i="9"/>
  <c r="P110" i="9"/>
  <c r="Q110" i="9"/>
  <c r="Q104" i="9" s="1"/>
  <c r="R110" i="9"/>
  <c r="R104" i="9" s="1"/>
  <c r="S110" i="9"/>
  <c r="P111" i="9"/>
  <c r="Q111" i="9"/>
  <c r="R111" i="9"/>
  <c r="S111" i="9"/>
  <c r="P116" i="9"/>
  <c r="Q116" i="9"/>
  <c r="R116" i="9"/>
  <c r="S116" i="9"/>
  <c r="P121" i="9"/>
  <c r="Q121" i="9"/>
  <c r="R121" i="9"/>
  <c r="S121" i="9"/>
  <c r="P126" i="9"/>
  <c r="Q126" i="9"/>
  <c r="R126" i="9"/>
  <c r="S126" i="9"/>
  <c r="P131" i="9"/>
  <c r="Q131" i="9"/>
  <c r="R131" i="9"/>
  <c r="S131" i="9"/>
  <c r="P136" i="9"/>
  <c r="Q136" i="9"/>
  <c r="R136" i="9"/>
  <c r="S136" i="9"/>
  <c r="P141" i="9"/>
  <c r="Q141" i="9"/>
  <c r="R141" i="9"/>
  <c r="S141" i="9"/>
  <c r="P146" i="9"/>
  <c r="Q146" i="9"/>
  <c r="R146" i="9"/>
  <c r="S146" i="9"/>
  <c r="P152" i="9"/>
  <c r="Q152" i="9"/>
  <c r="R152" i="9"/>
  <c r="S152" i="9"/>
  <c r="P157" i="9"/>
  <c r="Q157" i="9"/>
  <c r="R157" i="9"/>
  <c r="S157" i="9"/>
  <c r="P162" i="9"/>
  <c r="Q162" i="9"/>
  <c r="R162" i="9"/>
  <c r="S162" i="9"/>
  <c r="P167" i="9"/>
  <c r="Q167" i="9"/>
  <c r="R167" i="9"/>
  <c r="S167" i="9"/>
  <c r="P172" i="9"/>
  <c r="Q172" i="9"/>
  <c r="R172" i="9"/>
  <c r="S172" i="9"/>
  <c r="P101" i="9"/>
  <c r="Q101" i="9"/>
  <c r="R101" i="9"/>
  <c r="S101" i="9"/>
  <c r="P102" i="9"/>
  <c r="Q102" i="9"/>
  <c r="R102" i="9"/>
  <c r="S102" i="9"/>
  <c r="P103" i="9"/>
  <c r="S103" i="9"/>
  <c r="P104" i="9"/>
  <c r="S104" i="9"/>
  <c r="P63" i="9"/>
  <c r="Q63" i="9"/>
  <c r="R63" i="9"/>
  <c r="S63" i="9"/>
  <c r="P73" i="9"/>
  <c r="Q73" i="9"/>
  <c r="R73" i="9"/>
  <c r="S73" i="9"/>
  <c r="P78" i="9"/>
  <c r="Q78" i="9"/>
  <c r="R78" i="9"/>
  <c r="S78" i="9"/>
  <c r="P83" i="9"/>
  <c r="Q83" i="9"/>
  <c r="R83" i="9"/>
  <c r="S83" i="9"/>
  <c r="P88" i="9"/>
  <c r="Q88" i="9"/>
  <c r="R88" i="9"/>
  <c r="S88" i="9"/>
  <c r="P48" i="9"/>
  <c r="Q48" i="9"/>
  <c r="R48" i="9"/>
  <c r="S48" i="9"/>
  <c r="P49" i="9"/>
  <c r="P43" i="9" s="1"/>
  <c r="Q49" i="9"/>
  <c r="Q43" i="9" s="1"/>
  <c r="R49" i="9"/>
  <c r="R43" i="9" s="1"/>
  <c r="S49" i="9"/>
  <c r="S43" i="9" s="1"/>
  <c r="P50" i="9"/>
  <c r="P44" i="9" s="1"/>
  <c r="Q50" i="9"/>
  <c r="Q44" i="9" s="1"/>
  <c r="R50" i="9"/>
  <c r="S50" i="9"/>
  <c r="S44" i="9" s="1"/>
  <c r="P51" i="9"/>
  <c r="P45" i="9" s="1"/>
  <c r="Q51" i="9"/>
  <c r="Q45" i="9" s="1"/>
  <c r="R51" i="9"/>
  <c r="R45" i="9" s="1"/>
  <c r="S51" i="9"/>
  <c r="P52" i="9"/>
  <c r="Q52" i="9"/>
  <c r="R52" i="9"/>
  <c r="S52" i="9"/>
  <c r="P42" i="9"/>
  <c r="Q42" i="9"/>
  <c r="R42" i="9"/>
  <c r="S42" i="9"/>
  <c r="R44" i="9"/>
  <c r="S45" i="9"/>
  <c r="P31" i="9"/>
  <c r="P25" i="9" s="1"/>
  <c r="Q31" i="9"/>
  <c r="Q25" i="9" s="1"/>
  <c r="R31" i="9"/>
  <c r="S31" i="9"/>
  <c r="S25" i="9" s="1"/>
  <c r="Q33" i="9"/>
  <c r="R33" i="9"/>
  <c r="R27" i="9" s="1"/>
  <c r="S33" i="9"/>
  <c r="P34" i="9"/>
  <c r="P28" i="9" s="1"/>
  <c r="Q34" i="9"/>
  <c r="R34" i="9"/>
  <c r="R28" i="9" s="1"/>
  <c r="S34" i="9"/>
  <c r="P35" i="9"/>
  <c r="P30" i="9" s="1"/>
  <c r="P24" i="9" s="1"/>
  <c r="Q35" i="9"/>
  <c r="Q30" i="9" s="1"/>
  <c r="Q24" i="9" s="1"/>
  <c r="R35" i="9"/>
  <c r="R30" i="9" s="1"/>
  <c r="R24" i="9" s="1"/>
  <c r="S35" i="9"/>
  <c r="S30" i="9" s="1"/>
  <c r="S24" i="9" s="1"/>
  <c r="R25" i="9"/>
  <c r="P26" i="9"/>
  <c r="Q26" i="9"/>
  <c r="R26" i="9"/>
  <c r="S26" i="9"/>
  <c r="P27" i="9"/>
  <c r="Q27" i="9"/>
  <c r="S27" i="9"/>
  <c r="Q28" i="9"/>
  <c r="S28" i="9"/>
  <c r="S19" i="9" l="1"/>
  <c r="R19" i="9"/>
  <c r="R9" i="9" s="1"/>
  <c r="S20" i="9"/>
  <c r="S10" i="9" s="1"/>
  <c r="P19" i="9"/>
  <c r="P9" i="9" s="1"/>
  <c r="S22" i="9"/>
  <c r="S12" i="9" s="1"/>
  <c r="P22" i="9"/>
  <c r="P12" i="9" s="1"/>
  <c r="Q22" i="9"/>
  <c r="Q12" i="9" s="1"/>
  <c r="P20" i="9"/>
  <c r="P10" i="9" s="1"/>
  <c r="Q20" i="9"/>
  <c r="Q10" i="9" s="1"/>
  <c r="R22" i="9"/>
  <c r="R12" i="9" s="1"/>
  <c r="R295" i="9"/>
  <c r="R289" i="9" s="1"/>
  <c r="R20" i="9"/>
  <c r="R10" i="9" s="1"/>
  <c r="Q217" i="9"/>
  <c r="Q211" i="9" s="1"/>
  <c r="R357" i="9"/>
  <c r="Q21" i="9"/>
  <c r="Q11" i="9" s="1"/>
  <c r="Q357" i="9"/>
  <c r="P21" i="9"/>
  <c r="P11" i="9" s="1"/>
  <c r="P217" i="9"/>
  <c r="P211" i="9" s="1"/>
  <c r="P357" i="9"/>
  <c r="R217" i="9"/>
  <c r="R211" i="9" s="1"/>
  <c r="Q212" i="9"/>
  <c r="Q19" i="9" s="1"/>
  <c r="Q9" i="9" s="1"/>
  <c r="S21" i="9"/>
  <c r="S11" i="9" s="1"/>
  <c r="S217" i="9"/>
  <c r="S211" i="9" s="1"/>
  <c r="S357" i="9"/>
  <c r="Q295" i="9"/>
  <c r="Q289" i="9" s="1"/>
  <c r="P295" i="9"/>
  <c r="P289" i="9" s="1"/>
  <c r="S295" i="9"/>
  <c r="S289" i="9" s="1"/>
  <c r="S106" i="9"/>
  <c r="S100" i="9" s="1"/>
  <c r="R106" i="9"/>
  <c r="R100" i="9" s="1"/>
  <c r="Q106" i="9"/>
  <c r="Q100" i="9" s="1"/>
  <c r="P106" i="9"/>
  <c r="P100" i="9" s="1"/>
  <c r="R332" i="9"/>
  <c r="Q332" i="9"/>
  <c r="S332" i="9"/>
  <c r="P332" i="9"/>
  <c r="S184" i="9"/>
  <c r="S178" i="9" s="1"/>
  <c r="Q184" i="9"/>
  <c r="Q178" i="9" s="1"/>
  <c r="P184" i="9"/>
  <c r="P178" i="9" s="1"/>
  <c r="S199" i="9"/>
  <c r="R187" i="9"/>
  <c r="Q199" i="9"/>
  <c r="P199" i="9"/>
  <c r="S47" i="9"/>
  <c r="S41" i="9" s="1"/>
  <c r="R47" i="9"/>
  <c r="R41" i="9" s="1"/>
  <c r="Q47" i="9"/>
  <c r="Q41" i="9" s="1"/>
  <c r="P47" i="9"/>
  <c r="P41" i="9" s="1"/>
  <c r="S9" i="9"/>
  <c r="M412" i="9"/>
  <c r="C412" i="9" s="1"/>
  <c r="M361" i="9"/>
  <c r="P18" i="9" l="1"/>
  <c r="P8" i="9"/>
  <c r="S8" i="9"/>
  <c r="S18" i="9"/>
  <c r="Q8" i="9"/>
  <c r="Q18" i="9"/>
  <c r="R184" i="9"/>
  <c r="R178" i="9" s="1"/>
  <c r="R181" i="9"/>
  <c r="R21" i="9" s="1"/>
  <c r="R11" i="9" l="1"/>
  <c r="R8" i="9" s="1"/>
  <c r="R18" i="9"/>
  <c r="M336" i="9"/>
  <c r="M334" i="9" l="1"/>
  <c r="D414" i="9"/>
  <c r="E414" i="9"/>
  <c r="F414" i="9"/>
  <c r="G414" i="9"/>
  <c r="H414" i="9"/>
  <c r="I414" i="9"/>
  <c r="J414" i="9"/>
  <c r="K414" i="9"/>
  <c r="L414" i="9"/>
  <c r="M414" i="9"/>
  <c r="N414" i="9"/>
  <c r="O414" i="9"/>
  <c r="C414" i="9" l="1"/>
  <c r="M306" i="9"/>
  <c r="M377" i="9" l="1"/>
  <c r="M370" i="9" l="1"/>
  <c r="M360" i="9" s="1"/>
  <c r="M335" i="9" s="1"/>
  <c r="M367" i="9"/>
  <c r="C373" i="9"/>
  <c r="C77" i="9"/>
  <c r="C60" i="9"/>
  <c r="C61" i="9"/>
  <c r="C62" i="9"/>
  <c r="C59" i="9"/>
  <c r="M409" i="9" l="1"/>
  <c r="M44" i="9"/>
  <c r="M32" i="9"/>
  <c r="N83" i="9"/>
  <c r="O83" i="9"/>
  <c r="N88" i="9"/>
  <c r="O88" i="9"/>
  <c r="M88" i="9"/>
  <c r="O78" i="9"/>
  <c r="O73" i="9"/>
  <c r="M26" i="9" l="1"/>
  <c r="M297" i="9"/>
  <c r="N297" i="9"/>
  <c r="O297" i="9"/>
  <c r="L297" i="9"/>
  <c r="D316" i="9" l="1"/>
  <c r="E316" i="9"/>
  <c r="F316" i="9"/>
  <c r="G316" i="9"/>
  <c r="H316" i="9"/>
  <c r="I316" i="9"/>
  <c r="J316" i="9"/>
  <c r="K316" i="9"/>
  <c r="L316" i="9"/>
  <c r="M316" i="9"/>
  <c r="N316" i="9"/>
  <c r="O316" i="9"/>
  <c r="C316" i="9" l="1"/>
  <c r="N311" i="9"/>
  <c r="M109" i="9" l="1"/>
  <c r="M108" i="9"/>
  <c r="L170" i="9"/>
  <c r="O430" i="9"/>
  <c r="O427" i="9" s="1"/>
  <c r="O421" i="9" s="1"/>
  <c r="O432" i="9"/>
  <c r="O422" i="9"/>
  <c r="O423" i="9"/>
  <c r="O425" i="9"/>
  <c r="D409" i="9"/>
  <c r="E409" i="9"/>
  <c r="F409" i="9"/>
  <c r="G409" i="9"/>
  <c r="H409" i="9"/>
  <c r="I409" i="9"/>
  <c r="J409" i="9"/>
  <c r="K409" i="9"/>
  <c r="L409" i="9"/>
  <c r="N409" i="9"/>
  <c r="O409" i="9"/>
  <c r="O403" i="9"/>
  <c r="O424" i="9" l="1"/>
  <c r="C409" i="9"/>
  <c r="O398" i="9"/>
  <c r="O393" i="9"/>
  <c r="O382" i="9"/>
  <c r="O388" i="9"/>
  <c r="O367" i="9"/>
  <c r="O338" i="9"/>
  <c r="O358" i="9"/>
  <c r="O359" i="9"/>
  <c r="O334" i="9" s="1"/>
  <c r="O360" i="9"/>
  <c r="O335" i="9" s="1"/>
  <c r="O361" i="9"/>
  <c r="O336" i="9" s="1"/>
  <c r="O362" i="9"/>
  <c r="O321" i="9"/>
  <c r="O326" i="9"/>
  <c r="O311" i="9"/>
  <c r="O296" i="9"/>
  <c r="O290" i="9" s="1"/>
  <c r="O291" i="9"/>
  <c r="O298" i="9"/>
  <c r="O292" i="9" s="1"/>
  <c r="O299" i="9"/>
  <c r="O293" i="9" s="1"/>
  <c r="O301" i="9"/>
  <c r="O283" i="9"/>
  <c r="O268" i="9"/>
  <c r="O278" i="9"/>
  <c r="O263" i="9"/>
  <c r="O253" i="9"/>
  <c r="O242" i="9"/>
  <c r="O247" i="9"/>
  <c r="O232" i="9"/>
  <c r="O237" i="9"/>
  <c r="O218" i="9"/>
  <c r="O219" i="9"/>
  <c r="O213" i="9" s="1"/>
  <c r="O220" i="9"/>
  <c r="O214" i="9" s="1"/>
  <c r="O221" i="9"/>
  <c r="O215" i="9" s="1"/>
  <c r="O222" i="9"/>
  <c r="O227" i="9"/>
  <c r="O205" i="9"/>
  <c r="O202" i="9"/>
  <c r="O194" i="9"/>
  <c r="O185" i="9"/>
  <c r="O179" i="9" s="1"/>
  <c r="O186" i="9"/>
  <c r="O180" i="9" s="1"/>
  <c r="O188" i="9"/>
  <c r="O189" i="9"/>
  <c r="O182" i="9"/>
  <c r="O167" i="9"/>
  <c r="O172" i="9"/>
  <c r="O157" i="9"/>
  <c r="O162" i="9"/>
  <c r="O152" i="9"/>
  <c r="O141" i="9"/>
  <c r="O146" i="9"/>
  <c r="O121" i="9"/>
  <c r="O126" i="9"/>
  <c r="O131" i="9"/>
  <c r="O136" i="9"/>
  <c r="O116" i="9"/>
  <c r="O107" i="9"/>
  <c r="O101" i="9" s="1"/>
  <c r="O108" i="9"/>
  <c r="O102" i="9" s="1"/>
  <c r="O109" i="9"/>
  <c r="O103" i="9" s="1"/>
  <c r="O110" i="9"/>
  <c r="O104" i="9" s="1"/>
  <c r="O111" i="9"/>
  <c r="O63" i="9"/>
  <c r="O48" i="9"/>
  <c r="O50" i="9"/>
  <c r="O44" i="9" s="1"/>
  <c r="O51" i="9"/>
  <c r="O45" i="9" s="1"/>
  <c r="O52" i="9"/>
  <c r="O31" i="9"/>
  <c r="O27" i="9"/>
  <c r="O34" i="9"/>
  <c r="O35" i="9"/>
  <c r="O30" i="9" s="1"/>
  <c r="O24" i="9" s="1"/>
  <c r="O25" i="9"/>
  <c r="O26" i="9"/>
  <c r="O28" i="9"/>
  <c r="H435" i="9"/>
  <c r="C435" i="9" s="1"/>
  <c r="H434" i="9"/>
  <c r="C434" i="9" s="1"/>
  <c r="N432" i="9"/>
  <c r="M432" i="9"/>
  <c r="L432" i="9"/>
  <c r="K432" i="9"/>
  <c r="J432" i="9"/>
  <c r="I432" i="9"/>
  <c r="G432" i="9"/>
  <c r="F432" i="9"/>
  <c r="E432" i="9"/>
  <c r="D432" i="9"/>
  <c r="G431" i="9"/>
  <c r="C431" i="9" s="1"/>
  <c r="N430" i="9"/>
  <c r="N427" i="9" s="1"/>
  <c r="N421" i="9" s="1"/>
  <c r="M430" i="9"/>
  <c r="L430" i="9"/>
  <c r="L427" i="9" s="1"/>
  <c r="L421" i="9" s="1"/>
  <c r="K430" i="9"/>
  <c r="J430" i="9"/>
  <c r="J427" i="9" s="1"/>
  <c r="J421" i="9" s="1"/>
  <c r="I430" i="9"/>
  <c r="I427" i="9" s="1"/>
  <c r="I421" i="9" s="1"/>
  <c r="G430" i="9"/>
  <c r="G429" i="9"/>
  <c r="G423" i="9" s="1"/>
  <c r="G428" i="9"/>
  <c r="C428" i="9" s="1"/>
  <c r="F427" i="9"/>
  <c r="F421" i="9" s="1"/>
  <c r="E427" i="9"/>
  <c r="D427" i="9"/>
  <c r="N425" i="9"/>
  <c r="M425" i="9"/>
  <c r="L425" i="9"/>
  <c r="K425" i="9"/>
  <c r="J425" i="9"/>
  <c r="I425" i="9"/>
  <c r="H425" i="9"/>
  <c r="G425" i="9"/>
  <c r="F425" i="9"/>
  <c r="E425" i="9"/>
  <c r="D425" i="9"/>
  <c r="L424" i="9"/>
  <c r="F424" i="9"/>
  <c r="E424" i="9"/>
  <c r="D424" i="9"/>
  <c r="N423" i="9"/>
  <c r="M423" i="9"/>
  <c r="L423" i="9"/>
  <c r="K423" i="9"/>
  <c r="J423" i="9"/>
  <c r="I423" i="9"/>
  <c r="F423" i="9"/>
  <c r="E423" i="9"/>
  <c r="D423" i="9"/>
  <c r="N422" i="9"/>
  <c r="M422" i="9"/>
  <c r="L422" i="9"/>
  <c r="K422" i="9"/>
  <c r="J422" i="9"/>
  <c r="I422" i="9"/>
  <c r="H422" i="9"/>
  <c r="F422" i="9"/>
  <c r="E422" i="9"/>
  <c r="D422" i="9"/>
  <c r="E421" i="9"/>
  <c r="I407" i="9"/>
  <c r="C407" i="9" s="1"/>
  <c r="K406" i="9"/>
  <c r="N403" i="9"/>
  <c r="M403" i="9"/>
  <c r="L403" i="9"/>
  <c r="K403" i="9"/>
  <c r="J403" i="9"/>
  <c r="H403" i="9"/>
  <c r="G403" i="9"/>
  <c r="K401" i="9"/>
  <c r="K360" i="9" s="1"/>
  <c r="J401" i="9"/>
  <c r="J398" i="9" s="1"/>
  <c r="I401" i="9"/>
  <c r="I398" i="9" s="1"/>
  <c r="H401" i="9"/>
  <c r="G401" i="9"/>
  <c r="N398" i="9"/>
  <c r="M398" i="9"/>
  <c r="L398" i="9"/>
  <c r="G398" i="9"/>
  <c r="G396" i="9"/>
  <c r="G393" i="9" s="1"/>
  <c r="F396" i="9"/>
  <c r="N393" i="9"/>
  <c r="M393" i="9"/>
  <c r="L393" i="9"/>
  <c r="K393" i="9"/>
  <c r="J393" i="9"/>
  <c r="I393" i="9"/>
  <c r="H393" i="9"/>
  <c r="E393" i="9"/>
  <c r="D393" i="9"/>
  <c r="N388" i="9"/>
  <c r="M388" i="9"/>
  <c r="L388" i="9"/>
  <c r="K388" i="9"/>
  <c r="J388" i="9"/>
  <c r="I388" i="9"/>
  <c r="H388" i="9"/>
  <c r="G388" i="9"/>
  <c r="F388" i="9"/>
  <c r="E388" i="9"/>
  <c r="D388" i="9"/>
  <c r="F385" i="9"/>
  <c r="C385" i="9" s="1"/>
  <c r="F384" i="9"/>
  <c r="C384" i="9" s="1"/>
  <c r="F383" i="9"/>
  <c r="C383" i="9" s="1"/>
  <c r="N382" i="9"/>
  <c r="M382" i="9"/>
  <c r="L382" i="9"/>
  <c r="K382" i="9"/>
  <c r="J382" i="9"/>
  <c r="I382" i="9"/>
  <c r="H382" i="9"/>
  <c r="G382" i="9"/>
  <c r="E382" i="9"/>
  <c r="D382" i="9"/>
  <c r="F377" i="9"/>
  <c r="F372" i="9"/>
  <c r="C372" i="9" s="1"/>
  <c r="H370" i="9"/>
  <c r="C370" i="9" s="1"/>
  <c r="L359" i="9"/>
  <c r="N367" i="9"/>
  <c r="K367" i="9"/>
  <c r="J367" i="9"/>
  <c r="I367" i="9"/>
  <c r="G367" i="9"/>
  <c r="F367" i="9"/>
  <c r="E367" i="9"/>
  <c r="D367" i="9"/>
  <c r="J365" i="9"/>
  <c r="J362" i="9" s="1"/>
  <c r="H365" i="9"/>
  <c r="H362" i="9" s="1"/>
  <c r="N362" i="9"/>
  <c r="M362" i="9"/>
  <c r="L362" i="9"/>
  <c r="K362" i="9"/>
  <c r="I362" i="9"/>
  <c r="G362" i="9"/>
  <c r="F362" i="9"/>
  <c r="E362" i="9"/>
  <c r="D362" i="9"/>
  <c r="N361" i="9"/>
  <c r="N336" i="9" s="1"/>
  <c r="L361" i="9"/>
  <c r="K361" i="9"/>
  <c r="K336" i="9" s="1"/>
  <c r="J361" i="9"/>
  <c r="J336" i="9" s="1"/>
  <c r="I361" i="9"/>
  <c r="I336" i="9" s="1"/>
  <c r="H361" i="9"/>
  <c r="G361" i="9"/>
  <c r="G336" i="9" s="1"/>
  <c r="F361" i="9"/>
  <c r="F336" i="9" s="1"/>
  <c r="E361" i="9"/>
  <c r="D361" i="9"/>
  <c r="N360" i="9"/>
  <c r="N335" i="9" s="1"/>
  <c r="E360" i="9"/>
  <c r="D360" i="9"/>
  <c r="N359" i="9"/>
  <c r="K359" i="9"/>
  <c r="K334" i="9" s="1"/>
  <c r="J359" i="9"/>
  <c r="J334" i="9" s="1"/>
  <c r="I359" i="9"/>
  <c r="I334" i="9" s="1"/>
  <c r="H359" i="9"/>
  <c r="H334" i="9" s="1"/>
  <c r="G359" i="9"/>
  <c r="G334" i="9" s="1"/>
  <c r="E359" i="9"/>
  <c r="D359" i="9"/>
  <c r="N358" i="9"/>
  <c r="M358" i="9"/>
  <c r="M333" i="9" s="1"/>
  <c r="L358" i="9"/>
  <c r="L333" i="9" s="1"/>
  <c r="K358" i="9"/>
  <c r="K333" i="9" s="1"/>
  <c r="J358" i="9"/>
  <c r="J333" i="9" s="1"/>
  <c r="I358" i="9"/>
  <c r="I333" i="9" s="1"/>
  <c r="H358" i="9"/>
  <c r="H333" i="9" s="1"/>
  <c r="G358" i="9"/>
  <c r="G333" i="9" s="1"/>
  <c r="E358" i="9"/>
  <c r="D358" i="9"/>
  <c r="D333" i="9" s="1"/>
  <c r="N345" i="9"/>
  <c r="M345" i="9"/>
  <c r="L345" i="9"/>
  <c r="K345" i="9"/>
  <c r="J345" i="9"/>
  <c r="I345" i="9"/>
  <c r="H345" i="9"/>
  <c r="G345" i="9"/>
  <c r="F345" i="9"/>
  <c r="E345" i="9"/>
  <c r="D345" i="9"/>
  <c r="N338" i="9"/>
  <c r="M338" i="9"/>
  <c r="L338" i="9"/>
  <c r="K338" i="9"/>
  <c r="J338" i="9"/>
  <c r="I338" i="9"/>
  <c r="H338" i="9"/>
  <c r="G338" i="9"/>
  <c r="F338" i="9"/>
  <c r="E338" i="9"/>
  <c r="D338" i="9"/>
  <c r="L336" i="9"/>
  <c r="H336" i="9"/>
  <c r="D336" i="9"/>
  <c r="N334" i="9"/>
  <c r="N326" i="9"/>
  <c r="M326" i="9"/>
  <c r="L326" i="9"/>
  <c r="K326" i="9"/>
  <c r="J326" i="9"/>
  <c r="I326" i="9"/>
  <c r="H326" i="9"/>
  <c r="G326" i="9"/>
  <c r="F326" i="9"/>
  <c r="E326" i="9"/>
  <c r="D326" i="9"/>
  <c r="J323" i="9"/>
  <c r="J321" i="9" s="1"/>
  <c r="I323" i="9"/>
  <c r="I321" i="9" s="1"/>
  <c r="H323" i="9"/>
  <c r="N321" i="9"/>
  <c r="M321" i="9"/>
  <c r="L321" i="9"/>
  <c r="K321" i="9"/>
  <c r="G321" i="9"/>
  <c r="F321" i="9"/>
  <c r="E321" i="9"/>
  <c r="D321" i="9"/>
  <c r="M311" i="9"/>
  <c r="L311" i="9"/>
  <c r="K311" i="9"/>
  <c r="J311" i="9"/>
  <c r="I311" i="9"/>
  <c r="H311" i="9"/>
  <c r="G311" i="9"/>
  <c r="F311" i="9"/>
  <c r="E311" i="9"/>
  <c r="D311" i="9"/>
  <c r="J309" i="9"/>
  <c r="C309" i="9" s="1"/>
  <c r="I306" i="9"/>
  <c r="H306" i="9"/>
  <c r="G306" i="9"/>
  <c r="F306" i="9"/>
  <c r="E306" i="9"/>
  <c r="D306" i="9"/>
  <c r="L305" i="9"/>
  <c r="L301" i="9" s="1"/>
  <c r="J305" i="9"/>
  <c r="K304" i="9"/>
  <c r="K298" i="9" s="1"/>
  <c r="K292" i="9" s="1"/>
  <c r="I304" i="9"/>
  <c r="I298" i="9" s="1"/>
  <c r="I292" i="9" s="1"/>
  <c r="H304" i="9"/>
  <c r="H298" i="9" s="1"/>
  <c r="H292" i="9" s="1"/>
  <c r="G304" i="9"/>
  <c r="G301" i="9" s="1"/>
  <c r="F304" i="9"/>
  <c r="K303" i="9"/>
  <c r="K297" i="9" s="1"/>
  <c r="K291" i="9" s="1"/>
  <c r="J303" i="9"/>
  <c r="I303" i="9"/>
  <c r="H303" i="9"/>
  <c r="H297" i="9" s="1"/>
  <c r="H291" i="9" s="1"/>
  <c r="F303" i="9"/>
  <c r="N301" i="9"/>
  <c r="M301" i="9"/>
  <c r="E301" i="9"/>
  <c r="D301" i="9"/>
  <c r="N299" i="9"/>
  <c r="N293" i="9" s="1"/>
  <c r="M299" i="9"/>
  <c r="K299" i="9"/>
  <c r="K293" i="9" s="1"/>
  <c r="I299" i="9"/>
  <c r="I293" i="9" s="1"/>
  <c r="H299" i="9"/>
  <c r="H293" i="9" s="1"/>
  <c r="G299" i="9"/>
  <c r="G293" i="9" s="1"/>
  <c r="F299" i="9"/>
  <c r="F293" i="9" s="1"/>
  <c r="E299" i="9"/>
  <c r="E293" i="9" s="1"/>
  <c r="D299" i="9"/>
  <c r="N292" i="9"/>
  <c r="M298" i="9"/>
  <c r="L298" i="9"/>
  <c r="L292" i="9" s="1"/>
  <c r="E298" i="9"/>
  <c r="E292" i="9" s="1"/>
  <c r="D298" i="9"/>
  <c r="N291" i="9"/>
  <c r="M291" i="9"/>
  <c r="L291" i="9"/>
  <c r="G297" i="9"/>
  <c r="G291" i="9" s="1"/>
  <c r="E297" i="9"/>
  <c r="E291" i="9" s="1"/>
  <c r="D297" i="9"/>
  <c r="N296" i="9"/>
  <c r="M296" i="9"/>
  <c r="M290" i="9" s="1"/>
  <c r="L296" i="9"/>
  <c r="K296" i="9"/>
  <c r="K290" i="9" s="1"/>
  <c r="J296" i="9"/>
  <c r="I296" i="9"/>
  <c r="H296" i="9"/>
  <c r="G296" i="9"/>
  <c r="G290" i="9" s="1"/>
  <c r="F296" i="9"/>
  <c r="F290" i="9" s="1"/>
  <c r="E296" i="9"/>
  <c r="E290" i="9" s="1"/>
  <c r="D296" i="9"/>
  <c r="I285" i="9"/>
  <c r="C285" i="9" s="1"/>
  <c r="N283" i="9"/>
  <c r="M283" i="9"/>
  <c r="L283" i="9"/>
  <c r="K283" i="9"/>
  <c r="J283" i="9"/>
  <c r="H283" i="9"/>
  <c r="G283" i="9"/>
  <c r="F283" i="9"/>
  <c r="E283" i="9"/>
  <c r="D283" i="9"/>
  <c r="L281" i="9"/>
  <c r="L278" i="9" s="1"/>
  <c r="J281" i="9"/>
  <c r="H281" i="9"/>
  <c r="N278" i="9"/>
  <c r="M278" i="9"/>
  <c r="K278" i="9"/>
  <c r="I278" i="9"/>
  <c r="G278" i="9"/>
  <c r="F278" i="9"/>
  <c r="E278" i="9"/>
  <c r="D278" i="9"/>
  <c r="F273" i="9"/>
  <c r="C273" i="9" s="1"/>
  <c r="J271" i="9"/>
  <c r="J268" i="9" s="1"/>
  <c r="I271" i="9"/>
  <c r="I268" i="9" s="1"/>
  <c r="H271" i="9"/>
  <c r="H268" i="9" s="1"/>
  <c r="N268" i="9"/>
  <c r="M268" i="9"/>
  <c r="L268" i="9"/>
  <c r="K268" i="9"/>
  <c r="G268" i="9"/>
  <c r="F268" i="9"/>
  <c r="E268" i="9"/>
  <c r="D268" i="9"/>
  <c r="I266" i="9"/>
  <c r="I263" i="9" s="1"/>
  <c r="H266" i="9"/>
  <c r="G265" i="9"/>
  <c r="M263" i="9"/>
  <c r="L263" i="9"/>
  <c r="K263" i="9"/>
  <c r="J263" i="9"/>
  <c r="F263" i="9"/>
  <c r="E263" i="9"/>
  <c r="D263" i="9"/>
  <c r="J256" i="9"/>
  <c r="J253" i="9" s="1"/>
  <c r="I256" i="9"/>
  <c r="I253" i="9" s="1"/>
  <c r="H256" i="9"/>
  <c r="G255" i="9"/>
  <c r="G253" i="9" s="1"/>
  <c r="F255" i="9"/>
  <c r="N253" i="9"/>
  <c r="M253" i="9"/>
  <c r="L253" i="9"/>
  <c r="K253" i="9"/>
  <c r="E253" i="9"/>
  <c r="D253" i="9"/>
  <c r="N247" i="9"/>
  <c r="M247" i="9"/>
  <c r="L247" i="9"/>
  <c r="K247" i="9"/>
  <c r="J247" i="9"/>
  <c r="I247" i="9"/>
  <c r="H247" i="9"/>
  <c r="G247" i="9"/>
  <c r="F247" i="9"/>
  <c r="E247" i="9"/>
  <c r="D247" i="9"/>
  <c r="H245" i="9"/>
  <c r="C245" i="9" s="1"/>
  <c r="N242" i="9"/>
  <c r="M242" i="9"/>
  <c r="L242" i="9"/>
  <c r="K242" i="9"/>
  <c r="J242" i="9"/>
  <c r="I242" i="9"/>
  <c r="G242" i="9"/>
  <c r="F242" i="9"/>
  <c r="E242" i="9"/>
  <c r="D242" i="9"/>
  <c r="N237" i="9"/>
  <c r="M237" i="9"/>
  <c r="L237" i="9"/>
  <c r="K237" i="9"/>
  <c r="J237" i="9"/>
  <c r="I237" i="9"/>
  <c r="H237" i="9"/>
  <c r="G237" i="9"/>
  <c r="F237" i="9"/>
  <c r="E237" i="9"/>
  <c r="D237" i="9"/>
  <c r="N232" i="9"/>
  <c r="M232" i="9"/>
  <c r="L232" i="9"/>
  <c r="K232" i="9"/>
  <c r="J232" i="9"/>
  <c r="I232" i="9"/>
  <c r="H232" i="9"/>
  <c r="G232" i="9"/>
  <c r="F232" i="9"/>
  <c r="E232" i="9"/>
  <c r="D232" i="9"/>
  <c r="F230" i="9"/>
  <c r="C230" i="9" s="1"/>
  <c r="N227" i="9"/>
  <c r="M227" i="9"/>
  <c r="L227" i="9"/>
  <c r="K227" i="9"/>
  <c r="J227" i="9"/>
  <c r="I227" i="9"/>
  <c r="H227" i="9"/>
  <c r="G227" i="9"/>
  <c r="E227" i="9"/>
  <c r="D227" i="9"/>
  <c r="I225" i="9"/>
  <c r="H225" i="9"/>
  <c r="H222" i="9" s="1"/>
  <c r="E225" i="9"/>
  <c r="N222" i="9"/>
  <c r="M222" i="9"/>
  <c r="L222" i="9"/>
  <c r="K222" i="9"/>
  <c r="J222" i="9"/>
  <c r="G222" i="9"/>
  <c r="F222" i="9"/>
  <c r="D222" i="9"/>
  <c r="M221" i="9"/>
  <c r="M215" i="9" s="1"/>
  <c r="L221" i="9"/>
  <c r="L215" i="9" s="1"/>
  <c r="K221" i="9"/>
  <c r="K215" i="9" s="1"/>
  <c r="J221" i="9"/>
  <c r="J215" i="9" s="1"/>
  <c r="I221" i="9"/>
  <c r="I215" i="9" s="1"/>
  <c r="H221" i="9"/>
  <c r="H215" i="9" s="1"/>
  <c r="G221" i="9"/>
  <c r="G215" i="9" s="1"/>
  <c r="F221" i="9"/>
  <c r="F215" i="9" s="1"/>
  <c r="E221" i="9"/>
  <c r="E215" i="9" s="1"/>
  <c r="D221" i="9"/>
  <c r="D215" i="9" s="1"/>
  <c r="M220" i="9"/>
  <c r="K220" i="9"/>
  <c r="K214" i="9" s="1"/>
  <c r="G220" i="9"/>
  <c r="G214" i="9" s="1"/>
  <c r="D220" i="9"/>
  <c r="D214" i="9" s="1"/>
  <c r="M219" i="9"/>
  <c r="M213" i="9" s="1"/>
  <c r="L219" i="9"/>
  <c r="L213" i="9" s="1"/>
  <c r="K219" i="9"/>
  <c r="J219" i="9"/>
  <c r="J213" i="9" s="1"/>
  <c r="H219" i="9"/>
  <c r="H213" i="9" s="1"/>
  <c r="E219" i="9"/>
  <c r="E213" i="9" s="1"/>
  <c r="D219" i="9"/>
  <c r="M218" i="9"/>
  <c r="M212" i="9" s="1"/>
  <c r="L218" i="9"/>
  <c r="L212" i="9" s="1"/>
  <c r="K218" i="9"/>
  <c r="K212" i="9" s="1"/>
  <c r="J218" i="9"/>
  <c r="J212" i="9" s="1"/>
  <c r="I218" i="9"/>
  <c r="I212" i="9" s="1"/>
  <c r="H218" i="9"/>
  <c r="H212" i="9" s="1"/>
  <c r="G218" i="9"/>
  <c r="G212" i="9" s="1"/>
  <c r="F218" i="9"/>
  <c r="F212" i="9" s="1"/>
  <c r="E218" i="9"/>
  <c r="E212" i="9" s="1"/>
  <c r="D218" i="9"/>
  <c r="J208" i="9"/>
  <c r="C208" i="9" s="1"/>
  <c r="N205" i="9"/>
  <c r="M205" i="9"/>
  <c r="L205" i="9"/>
  <c r="K205" i="9"/>
  <c r="I205" i="9"/>
  <c r="H205" i="9"/>
  <c r="G205" i="9"/>
  <c r="F205" i="9"/>
  <c r="E205" i="9"/>
  <c r="D205" i="9"/>
  <c r="N202" i="9"/>
  <c r="N187" i="9" s="1"/>
  <c r="M202" i="9"/>
  <c r="L202" i="9"/>
  <c r="K199" i="9"/>
  <c r="J199" i="9"/>
  <c r="I199" i="9"/>
  <c r="H199" i="9"/>
  <c r="G199" i="9"/>
  <c r="F199" i="9"/>
  <c r="E199" i="9"/>
  <c r="D199" i="9"/>
  <c r="J197" i="9"/>
  <c r="J194" i="9" s="1"/>
  <c r="I197" i="9"/>
  <c r="H197" i="9"/>
  <c r="G197" i="9"/>
  <c r="F197" i="9"/>
  <c r="N194" i="9"/>
  <c r="M194" i="9"/>
  <c r="L194" i="9"/>
  <c r="K194" i="9"/>
  <c r="I194" i="9"/>
  <c r="H194" i="9"/>
  <c r="E194" i="9"/>
  <c r="D194" i="9"/>
  <c r="J192" i="9"/>
  <c r="I192" i="9"/>
  <c r="I189" i="9" s="1"/>
  <c r="H192" i="9"/>
  <c r="G192" i="9"/>
  <c r="G189" i="9" s="1"/>
  <c r="F192" i="9"/>
  <c r="E192" i="9"/>
  <c r="N189" i="9"/>
  <c r="M189" i="9"/>
  <c r="L189" i="9"/>
  <c r="K189" i="9"/>
  <c r="D189" i="9"/>
  <c r="N188" i="9"/>
  <c r="N182" i="9" s="1"/>
  <c r="M188" i="9"/>
  <c r="M182" i="9" s="1"/>
  <c r="L188" i="9"/>
  <c r="L182" i="9" s="1"/>
  <c r="K188" i="9"/>
  <c r="K182" i="9" s="1"/>
  <c r="J188" i="9"/>
  <c r="J182" i="9" s="1"/>
  <c r="I188" i="9"/>
  <c r="I182" i="9" s="1"/>
  <c r="H188" i="9"/>
  <c r="H182" i="9" s="1"/>
  <c r="G188" i="9"/>
  <c r="G182" i="9" s="1"/>
  <c r="F188" i="9"/>
  <c r="F182" i="9" s="1"/>
  <c r="E188" i="9"/>
  <c r="D188" i="9"/>
  <c r="K187" i="9"/>
  <c r="K181" i="9" s="1"/>
  <c r="D187" i="9"/>
  <c r="N186" i="9"/>
  <c r="N180" i="9" s="1"/>
  <c r="M186" i="9"/>
  <c r="L186" i="9"/>
  <c r="L180" i="9" s="1"/>
  <c r="K186" i="9"/>
  <c r="K180" i="9" s="1"/>
  <c r="J186" i="9"/>
  <c r="J180" i="9" s="1"/>
  <c r="I186" i="9"/>
  <c r="I180" i="9" s="1"/>
  <c r="H186" i="9"/>
  <c r="H180" i="9" s="1"/>
  <c r="G186" i="9"/>
  <c r="G180" i="9" s="1"/>
  <c r="F186" i="9"/>
  <c r="F180" i="9" s="1"/>
  <c r="E186" i="9"/>
  <c r="D186" i="9"/>
  <c r="N185" i="9"/>
  <c r="N179" i="9" s="1"/>
  <c r="M185" i="9"/>
  <c r="L185" i="9"/>
  <c r="L179" i="9" s="1"/>
  <c r="K185" i="9"/>
  <c r="K179" i="9" s="1"/>
  <c r="J185" i="9"/>
  <c r="J179" i="9" s="1"/>
  <c r="I185" i="9"/>
  <c r="I179" i="9" s="1"/>
  <c r="H185" i="9"/>
  <c r="H179" i="9" s="1"/>
  <c r="G185" i="9"/>
  <c r="G179" i="9" s="1"/>
  <c r="F185" i="9"/>
  <c r="F179" i="9" s="1"/>
  <c r="E185" i="9"/>
  <c r="D185" i="9"/>
  <c r="N172" i="9"/>
  <c r="M172" i="9"/>
  <c r="L172" i="9"/>
  <c r="K172" i="9"/>
  <c r="J172" i="9"/>
  <c r="I172" i="9"/>
  <c r="H172" i="9"/>
  <c r="G172" i="9"/>
  <c r="F172" i="9"/>
  <c r="E172" i="9"/>
  <c r="D172" i="9"/>
  <c r="J170" i="9"/>
  <c r="C170" i="9" s="1"/>
  <c r="L169" i="9"/>
  <c r="C169" i="9" s="1"/>
  <c r="N167" i="9"/>
  <c r="M167" i="9"/>
  <c r="K167" i="9"/>
  <c r="I167" i="9"/>
  <c r="H167" i="9"/>
  <c r="G167" i="9"/>
  <c r="F167" i="9"/>
  <c r="E167" i="9"/>
  <c r="D167" i="9"/>
  <c r="J165" i="9"/>
  <c r="J162" i="9" s="1"/>
  <c r="H165" i="9"/>
  <c r="N162" i="9"/>
  <c r="M162" i="9"/>
  <c r="L162" i="9"/>
  <c r="K162" i="9"/>
  <c r="I162" i="9"/>
  <c r="F160" i="9"/>
  <c r="C160" i="9" s="1"/>
  <c r="N157" i="9"/>
  <c r="M157" i="9"/>
  <c r="L157" i="9"/>
  <c r="K157" i="9"/>
  <c r="J157" i="9"/>
  <c r="I157" i="9"/>
  <c r="H157" i="9"/>
  <c r="G157" i="9"/>
  <c r="E157" i="9"/>
  <c r="D157" i="9"/>
  <c r="J155" i="9"/>
  <c r="J152" i="9" s="1"/>
  <c r="I155" i="9"/>
  <c r="I152" i="9" s="1"/>
  <c r="H155" i="9"/>
  <c r="H152" i="9" s="1"/>
  <c r="F155" i="9"/>
  <c r="N152" i="9"/>
  <c r="M152" i="9"/>
  <c r="L152" i="9"/>
  <c r="K152" i="9"/>
  <c r="G152" i="9"/>
  <c r="E152" i="9"/>
  <c r="D152" i="9"/>
  <c r="H149" i="9"/>
  <c r="C149" i="9" s="1"/>
  <c r="H148" i="9"/>
  <c r="C148" i="9" s="1"/>
  <c r="N146" i="9"/>
  <c r="M146" i="9"/>
  <c r="L146" i="9"/>
  <c r="K146" i="9"/>
  <c r="J146" i="9"/>
  <c r="I146" i="9"/>
  <c r="G146" i="9"/>
  <c r="F146" i="9"/>
  <c r="E146" i="9"/>
  <c r="D146" i="9"/>
  <c r="H144" i="9"/>
  <c r="C144" i="9" s="1"/>
  <c r="N141" i="9"/>
  <c r="M141" i="9"/>
  <c r="L141" i="9"/>
  <c r="K141" i="9"/>
  <c r="J141" i="9"/>
  <c r="I141" i="9"/>
  <c r="G141" i="9"/>
  <c r="F141" i="9"/>
  <c r="E141" i="9"/>
  <c r="D141" i="9"/>
  <c r="N136" i="9"/>
  <c r="M136" i="9"/>
  <c r="L136" i="9"/>
  <c r="K136" i="9"/>
  <c r="J136" i="9"/>
  <c r="I136" i="9"/>
  <c r="H136" i="9"/>
  <c r="G136" i="9"/>
  <c r="F136" i="9"/>
  <c r="E136" i="9"/>
  <c r="D136" i="9"/>
  <c r="G134" i="9"/>
  <c r="N131" i="9"/>
  <c r="M131" i="9"/>
  <c r="L131" i="9"/>
  <c r="K131" i="9"/>
  <c r="J131" i="9"/>
  <c r="I131" i="9"/>
  <c r="H131" i="9"/>
  <c r="F131" i="9"/>
  <c r="E131" i="9"/>
  <c r="D131" i="9"/>
  <c r="H129" i="9"/>
  <c r="G129" i="9"/>
  <c r="H128" i="9"/>
  <c r="G128" i="9"/>
  <c r="N126" i="9"/>
  <c r="M126" i="9"/>
  <c r="L126" i="9"/>
  <c r="K126" i="9"/>
  <c r="J126" i="9"/>
  <c r="I126" i="9"/>
  <c r="F126" i="9"/>
  <c r="E126" i="9"/>
  <c r="D126" i="9"/>
  <c r="N121" i="9"/>
  <c r="M121" i="9"/>
  <c r="L121" i="9"/>
  <c r="K121" i="9"/>
  <c r="J121" i="9"/>
  <c r="I121" i="9"/>
  <c r="H121" i="9"/>
  <c r="G121" i="9"/>
  <c r="F121" i="9"/>
  <c r="E121" i="9"/>
  <c r="D121" i="9"/>
  <c r="J119" i="9"/>
  <c r="J116" i="9" s="1"/>
  <c r="I119" i="9"/>
  <c r="H119" i="9"/>
  <c r="H116" i="9" s="1"/>
  <c r="G119" i="9"/>
  <c r="G116" i="9" s="1"/>
  <c r="F119" i="9"/>
  <c r="N116" i="9"/>
  <c r="M116" i="9"/>
  <c r="L116" i="9"/>
  <c r="K116" i="9"/>
  <c r="E116" i="9"/>
  <c r="D116" i="9"/>
  <c r="K115" i="9"/>
  <c r="K110" i="9" s="1"/>
  <c r="J115" i="9"/>
  <c r="J110" i="9" s="1"/>
  <c r="J104" i="9" s="1"/>
  <c r="I115" i="9"/>
  <c r="E115" i="9"/>
  <c r="J114" i="9"/>
  <c r="I114" i="9"/>
  <c r="H114" i="9"/>
  <c r="H111" i="9" s="1"/>
  <c r="G114" i="9"/>
  <c r="G111" i="9" s="1"/>
  <c r="F114" i="9"/>
  <c r="E114" i="9"/>
  <c r="N111" i="9"/>
  <c r="M111" i="9"/>
  <c r="L111" i="9"/>
  <c r="D111" i="9"/>
  <c r="N110" i="9"/>
  <c r="N104" i="9" s="1"/>
  <c r="M110" i="9"/>
  <c r="L110" i="9"/>
  <c r="L104" i="9" s="1"/>
  <c r="H110" i="9"/>
  <c r="H104" i="9" s="1"/>
  <c r="G110" i="9"/>
  <c r="G104" i="9" s="1"/>
  <c r="F110" i="9"/>
  <c r="F104" i="9" s="1"/>
  <c r="D110" i="9"/>
  <c r="L109" i="9"/>
  <c r="K109" i="9"/>
  <c r="D109" i="9"/>
  <c r="N102" i="9"/>
  <c r="K108" i="9"/>
  <c r="K102" i="9" s="1"/>
  <c r="J108" i="9"/>
  <c r="J102" i="9" s="1"/>
  <c r="I108" i="9"/>
  <c r="I102" i="9" s="1"/>
  <c r="F108" i="9"/>
  <c r="F102" i="9" s="1"/>
  <c r="E108" i="9"/>
  <c r="D108" i="9"/>
  <c r="N107" i="9"/>
  <c r="M107" i="9"/>
  <c r="M101" i="9" s="1"/>
  <c r="L107" i="9"/>
  <c r="L101" i="9" s="1"/>
  <c r="K107" i="9"/>
  <c r="K101" i="9" s="1"/>
  <c r="J107" i="9"/>
  <c r="J101" i="9" s="1"/>
  <c r="I107" i="9"/>
  <c r="I101" i="9" s="1"/>
  <c r="H107" i="9"/>
  <c r="H101" i="9" s="1"/>
  <c r="G107" i="9"/>
  <c r="G101" i="9" s="1"/>
  <c r="F107" i="9"/>
  <c r="F101" i="9" s="1"/>
  <c r="E107" i="9"/>
  <c r="E101" i="9" s="1"/>
  <c r="D107" i="9"/>
  <c r="M102" i="9"/>
  <c r="N101" i="9"/>
  <c r="L88" i="9"/>
  <c r="K88" i="9"/>
  <c r="K86" i="9"/>
  <c r="J86" i="9"/>
  <c r="M83" i="9"/>
  <c r="L83" i="9"/>
  <c r="K83" i="9"/>
  <c r="L78" i="9"/>
  <c r="J80" i="9"/>
  <c r="I80" i="9"/>
  <c r="N78" i="9"/>
  <c r="K78" i="9"/>
  <c r="H78" i="9"/>
  <c r="G78" i="9"/>
  <c r="F78" i="9"/>
  <c r="E78" i="9"/>
  <c r="D78" i="9"/>
  <c r="M73" i="9"/>
  <c r="L75" i="9"/>
  <c r="L73" i="9" s="1"/>
  <c r="I75" i="9"/>
  <c r="N73" i="9"/>
  <c r="K73" i="9"/>
  <c r="J73" i="9"/>
  <c r="I73" i="9"/>
  <c r="H73" i="9"/>
  <c r="G73" i="9"/>
  <c r="F73" i="9"/>
  <c r="E73" i="9"/>
  <c r="D73" i="9"/>
  <c r="K71" i="9"/>
  <c r="N68" i="9"/>
  <c r="M68" i="9"/>
  <c r="L68" i="9"/>
  <c r="J68" i="9"/>
  <c r="I68" i="9"/>
  <c r="H68" i="9"/>
  <c r="G68" i="9"/>
  <c r="F68" i="9"/>
  <c r="E68" i="9"/>
  <c r="D68" i="9"/>
  <c r="J67" i="9"/>
  <c r="C67" i="9" s="1"/>
  <c r="J65" i="9"/>
  <c r="I65" i="9"/>
  <c r="I63" i="9" s="1"/>
  <c r="G65" i="9"/>
  <c r="F65" i="9"/>
  <c r="F63" i="9" s="1"/>
  <c r="N63" i="9"/>
  <c r="M63" i="9"/>
  <c r="K63" i="9"/>
  <c r="H63" i="9"/>
  <c r="E63" i="9"/>
  <c r="D63" i="9"/>
  <c r="F58" i="9"/>
  <c r="C58" i="9" s="1"/>
  <c r="J56" i="9"/>
  <c r="I56" i="9"/>
  <c r="J55" i="9"/>
  <c r="I55" i="9"/>
  <c r="H55" i="9"/>
  <c r="H50" i="9" s="1"/>
  <c r="H44" i="9" s="1"/>
  <c r="G55" i="9"/>
  <c r="G50" i="9" s="1"/>
  <c r="G44" i="9" s="1"/>
  <c r="F55" i="9"/>
  <c r="E55" i="9"/>
  <c r="N52" i="9"/>
  <c r="J54" i="9"/>
  <c r="I54" i="9"/>
  <c r="H54" i="9"/>
  <c r="G54" i="9"/>
  <c r="F54" i="9"/>
  <c r="E54" i="9"/>
  <c r="L52" i="9"/>
  <c r="K52" i="9"/>
  <c r="D52" i="9"/>
  <c r="N51" i="9"/>
  <c r="N45" i="9" s="1"/>
  <c r="M51" i="9"/>
  <c r="L51" i="9"/>
  <c r="L45" i="9" s="1"/>
  <c r="K51" i="9"/>
  <c r="K45" i="9" s="1"/>
  <c r="H51" i="9"/>
  <c r="G51" i="9"/>
  <c r="G45" i="9" s="1"/>
  <c r="F51" i="9"/>
  <c r="F45" i="9" s="1"/>
  <c r="E51" i="9"/>
  <c r="E45" i="9" s="1"/>
  <c r="D51" i="9"/>
  <c r="D45" i="9" s="1"/>
  <c r="N50" i="9"/>
  <c r="N44" i="9" s="1"/>
  <c r="M50" i="9"/>
  <c r="L50" i="9"/>
  <c r="L44" i="9" s="1"/>
  <c r="F50" i="9"/>
  <c r="F44" i="9" s="1"/>
  <c r="D50" i="9"/>
  <c r="N49" i="9"/>
  <c r="K49" i="9"/>
  <c r="K43" i="9" s="1"/>
  <c r="D49" i="9"/>
  <c r="N48" i="9"/>
  <c r="N42" i="9" s="1"/>
  <c r="M48" i="9"/>
  <c r="M42" i="9" s="1"/>
  <c r="L48" i="9"/>
  <c r="L42" i="9" s="1"/>
  <c r="K48" i="9"/>
  <c r="K42" i="9" s="1"/>
  <c r="J48" i="9"/>
  <c r="J42" i="9" s="1"/>
  <c r="I48" i="9"/>
  <c r="I42" i="9" s="1"/>
  <c r="H48" i="9"/>
  <c r="H42" i="9" s="1"/>
  <c r="G48" i="9"/>
  <c r="G42" i="9" s="1"/>
  <c r="F48" i="9"/>
  <c r="F42" i="9" s="1"/>
  <c r="E48" i="9"/>
  <c r="E42" i="9" s="1"/>
  <c r="D48" i="9"/>
  <c r="H45" i="9"/>
  <c r="J39" i="9"/>
  <c r="J34" i="9" s="1"/>
  <c r="J28" i="9" s="1"/>
  <c r="I39" i="9"/>
  <c r="L35" i="9"/>
  <c r="L30" i="9" s="1"/>
  <c r="L24" i="9" s="1"/>
  <c r="J38" i="9"/>
  <c r="I38" i="9"/>
  <c r="I33" i="9" s="1"/>
  <c r="I27" i="9" s="1"/>
  <c r="H38" i="9"/>
  <c r="H33" i="9" s="1"/>
  <c r="H27" i="9" s="1"/>
  <c r="G38" i="9"/>
  <c r="F38" i="9"/>
  <c r="E38" i="9"/>
  <c r="N32" i="9"/>
  <c r="N26" i="9" s="1"/>
  <c r="J37" i="9"/>
  <c r="J32" i="9" s="1"/>
  <c r="J26" i="9" s="1"/>
  <c r="I37" i="9"/>
  <c r="I32" i="9" s="1"/>
  <c r="I26" i="9" s="1"/>
  <c r="H37" i="9"/>
  <c r="H32" i="9" s="1"/>
  <c r="H26" i="9" s="1"/>
  <c r="G37" i="9"/>
  <c r="G32" i="9" s="1"/>
  <c r="G26" i="9" s="1"/>
  <c r="F37" i="9"/>
  <c r="E37" i="9"/>
  <c r="M35" i="9"/>
  <c r="K35" i="9"/>
  <c r="K30" i="9" s="1"/>
  <c r="K24" i="9" s="1"/>
  <c r="D35" i="9"/>
  <c r="N34" i="9"/>
  <c r="N28" i="9" s="1"/>
  <c r="M34" i="9"/>
  <c r="L34" i="9"/>
  <c r="L28" i="9" s="1"/>
  <c r="K34" i="9"/>
  <c r="K28" i="9" s="1"/>
  <c r="H34" i="9"/>
  <c r="H28" i="9" s="1"/>
  <c r="G34" i="9"/>
  <c r="G28" i="9" s="1"/>
  <c r="F34" i="9"/>
  <c r="F28" i="9" s="1"/>
  <c r="E34" i="9"/>
  <c r="E28" i="9" s="1"/>
  <c r="D34" i="9"/>
  <c r="N33" i="9"/>
  <c r="N27" i="9" s="1"/>
  <c r="M33" i="9"/>
  <c r="K33" i="9"/>
  <c r="K27" i="9" s="1"/>
  <c r="F33" i="9"/>
  <c r="F27" i="9" s="1"/>
  <c r="E33" i="9"/>
  <c r="E27" i="9" s="1"/>
  <c r="D33" i="9"/>
  <c r="L32" i="9"/>
  <c r="L26" i="9" s="1"/>
  <c r="K32" i="9"/>
  <c r="K26" i="9" s="1"/>
  <c r="D32" i="9"/>
  <c r="N31" i="9"/>
  <c r="N25" i="9" s="1"/>
  <c r="M31" i="9"/>
  <c r="M25" i="9" s="1"/>
  <c r="L31" i="9"/>
  <c r="L25" i="9" s="1"/>
  <c r="K31" i="9"/>
  <c r="K25" i="9" s="1"/>
  <c r="J31" i="9"/>
  <c r="J25" i="9" s="1"/>
  <c r="I31" i="9"/>
  <c r="I25" i="9" s="1"/>
  <c r="H31" i="9"/>
  <c r="H25" i="9" s="1"/>
  <c r="G31" i="9"/>
  <c r="G25" i="9" s="1"/>
  <c r="F31" i="9"/>
  <c r="F25" i="9" s="1"/>
  <c r="E31" i="9"/>
  <c r="E25" i="9" s="1"/>
  <c r="D31" i="9"/>
  <c r="I424" i="9" l="1"/>
  <c r="F358" i="9"/>
  <c r="F333" i="9" s="1"/>
  <c r="L220" i="9"/>
  <c r="L214" i="9" s="1"/>
  <c r="L108" i="9"/>
  <c r="L102" i="9" s="1"/>
  <c r="H108" i="9"/>
  <c r="H102" i="9" s="1"/>
  <c r="H146" i="9"/>
  <c r="C146" i="9" s="1"/>
  <c r="C165" i="9"/>
  <c r="F301" i="9"/>
  <c r="J49" i="9"/>
  <c r="J43" i="9" s="1"/>
  <c r="G52" i="9"/>
  <c r="J51" i="9"/>
  <c r="J45" i="9" s="1"/>
  <c r="J63" i="9"/>
  <c r="C80" i="9"/>
  <c r="C345" i="9"/>
  <c r="F359" i="9"/>
  <c r="F334" i="9" s="1"/>
  <c r="C362" i="9"/>
  <c r="I187" i="9"/>
  <c r="I181" i="9" s="1"/>
  <c r="F52" i="9"/>
  <c r="C86" i="9"/>
  <c r="K217" i="9"/>
  <c r="K211" i="9" s="1"/>
  <c r="F220" i="9"/>
  <c r="F214" i="9" s="1"/>
  <c r="F227" i="9"/>
  <c r="H242" i="9"/>
  <c r="C365" i="9"/>
  <c r="J35" i="9"/>
  <c r="J30" i="9" s="1"/>
  <c r="J24" i="9" s="1"/>
  <c r="N199" i="9"/>
  <c r="I110" i="9"/>
  <c r="I104" i="9" s="1"/>
  <c r="C202" i="9"/>
  <c r="C227" i="9"/>
  <c r="C232" i="9"/>
  <c r="J52" i="9"/>
  <c r="C39" i="9"/>
  <c r="K111" i="9"/>
  <c r="C114" i="9"/>
  <c r="C129" i="9"/>
  <c r="L167" i="9"/>
  <c r="J205" i="9"/>
  <c r="C205" i="9" s="1"/>
  <c r="C225" i="9"/>
  <c r="I301" i="9"/>
  <c r="I109" i="9"/>
  <c r="I103" i="9" s="1"/>
  <c r="G131" i="9"/>
  <c r="C131" i="9" s="1"/>
  <c r="C134" i="9"/>
  <c r="C155" i="9"/>
  <c r="C172" i="9"/>
  <c r="C185" i="9"/>
  <c r="F253" i="9"/>
  <c r="C255" i="9"/>
  <c r="C296" i="9"/>
  <c r="J299" i="9"/>
  <c r="J293" i="9" s="1"/>
  <c r="C305" i="9"/>
  <c r="J306" i="9"/>
  <c r="C326" i="9"/>
  <c r="C338" i="9"/>
  <c r="N357" i="9"/>
  <c r="C388" i="9"/>
  <c r="G360" i="9"/>
  <c r="G357" i="9" s="1"/>
  <c r="C401" i="9"/>
  <c r="C425" i="9"/>
  <c r="H278" i="9"/>
  <c r="C281" i="9"/>
  <c r="K68" i="9"/>
  <c r="C68" i="9" s="1"/>
  <c r="C71" i="9"/>
  <c r="J83" i="9"/>
  <c r="C83" i="9" s="1"/>
  <c r="I35" i="9"/>
  <c r="I30" i="9" s="1"/>
  <c r="I24" i="9" s="1"/>
  <c r="J50" i="9"/>
  <c r="J44" i="9" s="1"/>
  <c r="E49" i="9"/>
  <c r="E43" i="9" s="1"/>
  <c r="C54" i="9"/>
  <c r="I49" i="9"/>
  <c r="I43" i="9" s="1"/>
  <c r="C65" i="9"/>
  <c r="C73" i="9"/>
  <c r="E109" i="9"/>
  <c r="E103" i="9" s="1"/>
  <c r="E111" i="9"/>
  <c r="C115" i="9"/>
  <c r="C119" i="9"/>
  <c r="H126" i="9"/>
  <c r="C136" i="9"/>
  <c r="J167" i="9"/>
  <c r="F194" i="9"/>
  <c r="C197" i="9"/>
  <c r="M199" i="9"/>
  <c r="M187" i="9"/>
  <c r="M184" i="9" s="1"/>
  <c r="C242" i="9"/>
  <c r="C247" i="9"/>
  <c r="G263" i="9"/>
  <c r="C265" i="9"/>
  <c r="F297" i="9"/>
  <c r="F291" i="9" s="1"/>
  <c r="C303" i="9"/>
  <c r="C323" i="9"/>
  <c r="C361" i="9"/>
  <c r="F393" i="9"/>
  <c r="C393" i="9" s="1"/>
  <c r="C396" i="9"/>
  <c r="G422" i="9"/>
  <c r="G19" i="9" s="1"/>
  <c r="G9" i="9" s="1"/>
  <c r="E189" i="9"/>
  <c r="C192" i="9"/>
  <c r="H35" i="9"/>
  <c r="H30" i="9" s="1"/>
  <c r="H24" i="9" s="1"/>
  <c r="C38" i="9"/>
  <c r="C55" i="9"/>
  <c r="C37" i="9"/>
  <c r="I28" i="9"/>
  <c r="J33" i="9"/>
  <c r="J27" i="9" s="1"/>
  <c r="F35" i="9"/>
  <c r="F30" i="9" s="1"/>
  <c r="F24" i="9" s="1"/>
  <c r="C56" i="9"/>
  <c r="C75" i="9"/>
  <c r="I78" i="9"/>
  <c r="C88" i="9"/>
  <c r="E110" i="9"/>
  <c r="E104" i="9" s="1"/>
  <c r="I111" i="9"/>
  <c r="C121" i="9"/>
  <c r="C128" i="9"/>
  <c r="F152" i="9"/>
  <c r="C152" i="9" s="1"/>
  <c r="F157" i="9"/>
  <c r="C157" i="9" s="1"/>
  <c r="L199" i="9"/>
  <c r="K213" i="9"/>
  <c r="K20" i="9" s="1"/>
  <c r="K10" i="9" s="1"/>
  <c r="C237" i="9"/>
  <c r="C256" i="9"/>
  <c r="C266" i="9"/>
  <c r="C271" i="9"/>
  <c r="K301" i="9"/>
  <c r="C306" i="9"/>
  <c r="C311" i="9"/>
  <c r="I297" i="9"/>
  <c r="I291" i="9" s="1"/>
  <c r="C358" i="9"/>
  <c r="D421" i="9"/>
  <c r="C422" i="9"/>
  <c r="O199" i="9"/>
  <c r="O187" i="9"/>
  <c r="O181" i="9" s="1"/>
  <c r="O21" i="9" s="1"/>
  <c r="O11" i="9" s="1"/>
  <c r="C268" i="9"/>
  <c r="C188" i="9"/>
  <c r="C48" i="9"/>
  <c r="C107" i="9"/>
  <c r="D43" i="9"/>
  <c r="C31" i="9"/>
  <c r="M45" i="9"/>
  <c r="M293" i="9"/>
  <c r="M104" i="9"/>
  <c r="M28" i="9"/>
  <c r="M180" i="9"/>
  <c r="C186" i="9"/>
  <c r="M30" i="9"/>
  <c r="M27" i="9"/>
  <c r="D212" i="9"/>
  <c r="D179" i="9"/>
  <c r="D182" i="9"/>
  <c r="D213" i="9"/>
  <c r="D293" i="9"/>
  <c r="D357" i="9"/>
  <c r="D25" i="9"/>
  <c r="C25" i="9" s="1"/>
  <c r="D27" i="9"/>
  <c r="D28" i="9"/>
  <c r="E102" i="9"/>
  <c r="K104" i="9"/>
  <c r="D181" i="9"/>
  <c r="D334" i="9"/>
  <c r="M214" i="9"/>
  <c r="M427" i="9"/>
  <c r="N43" i="9"/>
  <c r="K335" i="9"/>
  <c r="K332" i="9" s="1"/>
  <c r="K357" i="9"/>
  <c r="J297" i="9"/>
  <c r="J291" i="9" s="1"/>
  <c r="I116" i="9"/>
  <c r="F116" i="9"/>
  <c r="H141" i="9"/>
  <c r="C141" i="9" s="1"/>
  <c r="F219" i="9"/>
  <c r="G298" i="9"/>
  <c r="G292" i="9" s="1"/>
  <c r="N333" i="9"/>
  <c r="N332" i="9" s="1"/>
  <c r="K398" i="9"/>
  <c r="M424" i="9"/>
  <c r="M106" i="9"/>
  <c r="I51" i="9"/>
  <c r="I45" i="9" s="1"/>
  <c r="E187" i="9"/>
  <c r="E184" i="9" s="1"/>
  <c r="J304" i="9"/>
  <c r="C304" i="9" s="1"/>
  <c r="F382" i="9"/>
  <c r="C382" i="9" s="1"/>
  <c r="I290" i="9"/>
  <c r="I19" i="9" s="1"/>
  <c r="I9" i="9" s="1"/>
  <c r="D184" i="9"/>
  <c r="H22" i="9"/>
  <c r="H12" i="9" s="1"/>
  <c r="K295" i="9"/>
  <c r="K289" i="9" s="1"/>
  <c r="H295" i="9"/>
  <c r="H289" i="9" s="1"/>
  <c r="N106" i="9"/>
  <c r="N100" i="9" s="1"/>
  <c r="D180" i="9"/>
  <c r="D335" i="9"/>
  <c r="F19" i="9"/>
  <c r="F9" i="9" s="1"/>
  <c r="K19" i="9"/>
  <c r="K9" i="9" s="1"/>
  <c r="K184" i="9"/>
  <c r="K178" i="9" s="1"/>
  <c r="F22" i="9"/>
  <c r="F12" i="9" s="1"/>
  <c r="D42" i="9"/>
  <c r="K22" i="9"/>
  <c r="K12" i="9" s="1"/>
  <c r="E295" i="9"/>
  <c r="E289" i="9" s="1"/>
  <c r="N103" i="9"/>
  <c r="O357" i="9"/>
  <c r="O333" i="9"/>
  <c r="O332" i="9" s="1"/>
  <c r="M295" i="9"/>
  <c r="O295" i="9"/>
  <c r="O289" i="9" s="1"/>
  <c r="M292" i="9"/>
  <c r="N295" i="9"/>
  <c r="N289" i="9" s="1"/>
  <c r="L217" i="9"/>
  <c r="L211" i="9" s="1"/>
  <c r="N220" i="9"/>
  <c r="N214" i="9" s="1"/>
  <c r="N221" i="9"/>
  <c r="N215" i="9" s="1"/>
  <c r="C215" i="9" s="1"/>
  <c r="M217" i="9"/>
  <c r="O217" i="9"/>
  <c r="O211" i="9" s="1"/>
  <c r="O212" i="9"/>
  <c r="O106" i="9"/>
  <c r="O100" i="9" s="1"/>
  <c r="M103" i="9"/>
  <c r="N47" i="9"/>
  <c r="N41" i="9" s="1"/>
  <c r="O49" i="9"/>
  <c r="O43" i="9" s="1"/>
  <c r="O20" i="9" s="1"/>
  <c r="O10" i="9" s="1"/>
  <c r="O22" i="9"/>
  <c r="O12" i="9" s="1"/>
  <c r="O42" i="9"/>
  <c r="L63" i="9"/>
  <c r="L49" i="9"/>
  <c r="K427" i="9"/>
  <c r="K421" i="9" s="1"/>
  <c r="K424" i="9"/>
  <c r="E32" i="9"/>
  <c r="E26" i="9" s="1"/>
  <c r="E35" i="9"/>
  <c r="E30" i="9" s="1"/>
  <c r="E24" i="9" s="1"/>
  <c r="N35" i="9"/>
  <c r="N30" i="9" s="1"/>
  <c r="N24" i="9" s="1"/>
  <c r="H52" i="9"/>
  <c r="H49" i="9"/>
  <c r="M52" i="9"/>
  <c r="E52" i="9"/>
  <c r="E50" i="9"/>
  <c r="E44" i="9" s="1"/>
  <c r="I52" i="9"/>
  <c r="I50" i="9"/>
  <c r="G49" i="9"/>
  <c r="G63" i="9"/>
  <c r="G109" i="9"/>
  <c r="G103" i="9" s="1"/>
  <c r="G22" i="9"/>
  <c r="G12" i="9" s="1"/>
  <c r="H109" i="9"/>
  <c r="I222" i="9"/>
  <c r="I220" i="9"/>
  <c r="I214" i="9" s="1"/>
  <c r="G35" i="9"/>
  <c r="G30" i="9" s="1"/>
  <c r="G24" i="9" s="1"/>
  <c r="G33" i="9"/>
  <c r="G27" i="9" s="1"/>
  <c r="H162" i="9"/>
  <c r="C162" i="9" s="1"/>
  <c r="H360" i="9"/>
  <c r="H367" i="9"/>
  <c r="F32" i="9"/>
  <c r="F26" i="9" s="1"/>
  <c r="L33" i="9"/>
  <c r="L27" i="9" s="1"/>
  <c r="I34" i="9"/>
  <c r="C34" i="9" s="1"/>
  <c r="F49" i="9"/>
  <c r="K106" i="9"/>
  <c r="K100" i="9" s="1"/>
  <c r="D104" i="9"/>
  <c r="G126" i="9"/>
  <c r="G108" i="9"/>
  <c r="D217" i="9"/>
  <c r="J278" i="9"/>
  <c r="I219" i="9"/>
  <c r="I283" i="9"/>
  <c r="C283" i="9" s="1"/>
  <c r="L360" i="9"/>
  <c r="L335" i="9" s="1"/>
  <c r="L377" i="9"/>
  <c r="C377" i="9" s="1"/>
  <c r="D26" i="9"/>
  <c r="D30" i="9"/>
  <c r="D47" i="9"/>
  <c r="D44" i="9"/>
  <c r="J78" i="9"/>
  <c r="L103" i="9"/>
  <c r="D292" i="9"/>
  <c r="G187" i="9"/>
  <c r="N184" i="9"/>
  <c r="N178" i="9" s="1"/>
  <c r="N181" i="9"/>
  <c r="E334" i="9"/>
  <c r="G427" i="9"/>
  <c r="G421" i="9" s="1"/>
  <c r="G424" i="9"/>
  <c r="H432" i="9"/>
  <c r="C432" i="9" s="1"/>
  <c r="H429" i="9"/>
  <c r="C429" i="9" s="1"/>
  <c r="K50" i="9"/>
  <c r="D101" i="9"/>
  <c r="C101" i="9" s="1"/>
  <c r="D102" i="9"/>
  <c r="D103" i="9"/>
  <c r="K103" i="9"/>
  <c r="D106" i="9"/>
  <c r="E180" i="9"/>
  <c r="E182" i="9"/>
  <c r="H189" i="9"/>
  <c r="H187" i="9"/>
  <c r="G194" i="9"/>
  <c r="G219" i="9"/>
  <c r="H263" i="9"/>
  <c r="N290" i="9"/>
  <c r="D291" i="9"/>
  <c r="H301" i="9"/>
  <c r="L299" i="9"/>
  <c r="L293" i="9" s="1"/>
  <c r="L22" i="9" s="1"/>
  <c r="L12" i="9" s="1"/>
  <c r="I406" i="9"/>
  <c r="C406" i="9" s="1"/>
  <c r="F111" i="9"/>
  <c r="F109" i="9"/>
  <c r="J111" i="9"/>
  <c r="J109" i="9"/>
  <c r="E179" i="9"/>
  <c r="M179" i="9"/>
  <c r="M19" i="9" s="1"/>
  <c r="J220" i="9"/>
  <c r="J214" i="9" s="1"/>
  <c r="J290" i="9"/>
  <c r="J19" i="9" s="1"/>
  <c r="F298" i="9"/>
  <c r="F360" i="9"/>
  <c r="H398" i="9"/>
  <c r="H253" i="9"/>
  <c r="H321" i="9"/>
  <c r="C321" i="9" s="1"/>
  <c r="E333" i="9"/>
  <c r="M332" i="9"/>
  <c r="E336" i="9"/>
  <c r="C336" i="9" s="1"/>
  <c r="F189" i="9"/>
  <c r="F187" i="9"/>
  <c r="J189" i="9"/>
  <c r="J187" i="9"/>
  <c r="L187" i="9"/>
  <c r="H220" i="9"/>
  <c r="H214" i="9" s="1"/>
  <c r="E222" i="9"/>
  <c r="E220" i="9"/>
  <c r="D290" i="9"/>
  <c r="H290" i="9"/>
  <c r="H19" i="9" s="1"/>
  <c r="L290" i="9"/>
  <c r="L19" i="9" s="1"/>
  <c r="D295" i="9"/>
  <c r="E357" i="9"/>
  <c r="M357" i="9"/>
  <c r="E335" i="9"/>
  <c r="L334" i="9"/>
  <c r="J360" i="9"/>
  <c r="L367" i="9"/>
  <c r="J424" i="9"/>
  <c r="N424" i="9"/>
  <c r="H430" i="9"/>
  <c r="H424" i="9" s="1"/>
  <c r="C63" i="9" l="1"/>
  <c r="L106" i="9"/>
  <c r="L100" i="9" s="1"/>
  <c r="C167" i="9"/>
  <c r="C108" i="9"/>
  <c r="M181" i="9"/>
  <c r="I295" i="9"/>
  <c r="I289" i="9" s="1"/>
  <c r="C116" i="9"/>
  <c r="C253" i="9"/>
  <c r="C359" i="9"/>
  <c r="J22" i="9"/>
  <c r="J12" i="9" s="1"/>
  <c r="J47" i="9"/>
  <c r="J41" i="9" s="1"/>
  <c r="C278" i="9"/>
  <c r="C398" i="9"/>
  <c r="N22" i="9"/>
  <c r="N12" i="9" s="1"/>
  <c r="C367" i="9"/>
  <c r="F217" i="9"/>
  <c r="F211" i="9" s="1"/>
  <c r="I184" i="9"/>
  <c r="I178" i="9" s="1"/>
  <c r="C199" i="9"/>
  <c r="C424" i="9"/>
  <c r="C126" i="9"/>
  <c r="O184" i="9"/>
  <c r="O178" i="9" s="1"/>
  <c r="C42" i="9"/>
  <c r="E106" i="9"/>
  <c r="E100" i="9" s="1"/>
  <c r="C430" i="9"/>
  <c r="C194" i="9"/>
  <c r="C222" i="9"/>
  <c r="C52" i="9"/>
  <c r="C299" i="9"/>
  <c r="C333" i="9"/>
  <c r="I106" i="9"/>
  <c r="I100" i="9" s="1"/>
  <c r="I22" i="9"/>
  <c r="I12" i="9" s="1"/>
  <c r="G335" i="9"/>
  <c r="G332" i="9" s="1"/>
  <c r="C110" i="9"/>
  <c r="C78" i="9"/>
  <c r="C189" i="9"/>
  <c r="C111" i="9"/>
  <c r="C293" i="9"/>
  <c r="C50" i="9"/>
  <c r="D332" i="9"/>
  <c r="C334" i="9"/>
  <c r="C290" i="9"/>
  <c r="C297" i="9"/>
  <c r="C220" i="9"/>
  <c r="C109" i="9"/>
  <c r="C291" i="9"/>
  <c r="E47" i="9"/>
  <c r="E41" i="9" s="1"/>
  <c r="C51" i="9"/>
  <c r="C221" i="9"/>
  <c r="C182" i="9"/>
  <c r="F213" i="9"/>
  <c r="C179" i="9"/>
  <c r="C180" i="9"/>
  <c r="C49" i="9"/>
  <c r="C187" i="9"/>
  <c r="C104" i="9"/>
  <c r="C45" i="9"/>
  <c r="C26" i="9"/>
  <c r="C33" i="9"/>
  <c r="C27" i="9"/>
  <c r="C32" i="9"/>
  <c r="C35" i="9"/>
  <c r="C28" i="9"/>
  <c r="M22" i="9"/>
  <c r="M178" i="9"/>
  <c r="M20" i="9"/>
  <c r="M24" i="9"/>
  <c r="C30" i="9"/>
  <c r="G295" i="9"/>
  <c r="G289" i="9" s="1"/>
  <c r="D178" i="9"/>
  <c r="M100" i="9"/>
  <c r="M211" i="9"/>
  <c r="M289" i="9"/>
  <c r="M421" i="9"/>
  <c r="M21" i="9"/>
  <c r="M11" i="9" s="1"/>
  <c r="E181" i="9"/>
  <c r="J20" i="9"/>
  <c r="J10" i="9" s="1"/>
  <c r="J298" i="9"/>
  <c r="J301" i="9"/>
  <c r="C301" i="9" s="1"/>
  <c r="L295" i="9"/>
  <c r="L289" i="9" s="1"/>
  <c r="N21" i="9"/>
  <c r="N11" i="9" s="1"/>
  <c r="D22" i="9"/>
  <c r="L332" i="9"/>
  <c r="L357" i="9"/>
  <c r="N219" i="9"/>
  <c r="C219" i="9" s="1"/>
  <c r="O19" i="9"/>
  <c r="O9" i="9" s="1"/>
  <c r="O8" i="9" s="1"/>
  <c r="O47" i="9"/>
  <c r="O41" i="9" s="1"/>
  <c r="H9" i="9"/>
  <c r="M9" i="9"/>
  <c r="L9" i="9"/>
  <c r="J106" i="9"/>
  <c r="J100" i="9" s="1"/>
  <c r="J103" i="9"/>
  <c r="D20" i="9"/>
  <c r="E217" i="9"/>
  <c r="E211" i="9" s="1"/>
  <c r="E214" i="9"/>
  <c r="C214" i="9" s="1"/>
  <c r="J184" i="9"/>
  <c r="J178" i="9" s="1"/>
  <c r="J181" i="9"/>
  <c r="F357" i="9"/>
  <c r="F335" i="9"/>
  <c r="E178" i="9"/>
  <c r="I403" i="9"/>
  <c r="C403" i="9" s="1"/>
  <c r="I360" i="9"/>
  <c r="C360" i="9" s="1"/>
  <c r="J217" i="9"/>
  <c r="J211" i="9" s="1"/>
  <c r="D100" i="9"/>
  <c r="H427" i="9"/>
  <c r="C427" i="9" s="1"/>
  <c r="H423" i="9"/>
  <c r="C423" i="9" s="1"/>
  <c r="I44" i="9"/>
  <c r="I47" i="9"/>
  <c r="I41" i="9" s="1"/>
  <c r="E20" i="9"/>
  <c r="E10" i="9" s="1"/>
  <c r="D289" i="9"/>
  <c r="J9" i="9"/>
  <c r="G184" i="9"/>
  <c r="G178" i="9" s="1"/>
  <c r="G181" i="9"/>
  <c r="G21" i="9" s="1"/>
  <c r="G11" i="9" s="1"/>
  <c r="F47" i="9"/>
  <c r="F41" i="9" s="1"/>
  <c r="F43" i="9"/>
  <c r="H357" i="9"/>
  <c r="H335" i="9"/>
  <c r="H332" i="9" s="1"/>
  <c r="G47" i="9"/>
  <c r="G41" i="9" s="1"/>
  <c r="G43" i="9"/>
  <c r="L47" i="9"/>
  <c r="L41" i="9" s="1"/>
  <c r="L43" i="9"/>
  <c r="L20" i="9" s="1"/>
  <c r="L10" i="9" s="1"/>
  <c r="J357" i="9"/>
  <c r="J335" i="9"/>
  <c r="J332" i="9" s="1"/>
  <c r="E332" i="9"/>
  <c r="K47" i="9"/>
  <c r="K41" i="9" s="1"/>
  <c r="K44" i="9"/>
  <c r="K21" i="9" s="1"/>
  <c r="I217" i="9"/>
  <c r="I211" i="9" s="1"/>
  <c r="I213" i="9"/>
  <c r="I20" i="9" s="1"/>
  <c r="G106" i="9"/>
  <c r="G100" i="9" s="1"/>
  <c r="G102" i="9"/>
  <c r="C102" i="9" s="1"/>
  <c r="D19" i="9"/>
  <c r="H106" i="9"/>
  <c r="H100" i="9" s="1"/>
  <c r="H103" i="9"/>
  <c r="F292" i="9"/>
  <c r="F295" i="9"/>
  <c r="F289" i="9" s="1"/>
  <c r="D41" i="9"/>
  <c r="D211" i="9"/>
  <c r="L184" i="9"/>
  <c r="L178" i="9" s="1"/>
  <c r="L181" i="9"/>
  <c r="L21" i="9" s="1"/>
  <c r="L11" i="9" s="1"/>
  <c r="F184" i="9"/>
  <c r="F178" i="9" s="1"/>
  <c r="F181" i="9"/>
  <c r="F106" i="9"/>
  <c r="F100" i="9" s="1"/>
  <c r="F103" i="9"/>
  <c r="G217" i="9"/>
  <c r="G211" i="9" s="1"/>
  <c r="G213" i="9"/>
  <c r="H184" i="9"/>
  <c r="H178" i="9" s="1"/>
  <c r="H181" i="9"/>
  <c r="D21" i="9"/>
  <c r="D24" i="9"/>
  <c r="H217" i="9"/>
  <c r="H211" i="9" s="1"/>
  <c r="H47" i="9"/>
  <c r="H41" i="9" s="1"/>
  <c r="H43" i="9"/>
  <c r="M47" i="9"/>
  <c r="E19" i="9"/>
  <c r="E22" i="9"/>
  <c r="E12" i="9" s="1"/>
  <c r="J292" i="9" l="1"/>
  <c r="C292" i="9" s="1"/>
  <c r="C298" i="9"/>
  <c r="C106" i="9"/>
  <c r="J295" i="9"/>
  <c r="J289" i="9" s="1"/>
  <c r="C289" i="9" s="1"/>
  <c r="C103" i="9"/>
  <c r="F20" i="9"/>
  <c r="F10" i="9" s="1"/>
  <c r="C44" i="9"/>
  <c r="C181" i="9"/>
  <c r="C184" i="9"/>
  <c r="C178" i="9"/>
  <c r="C43" i="9"/>
  <c r="C100" i="9"/>
  <c r="C47" i="9"/>
  <c r="C24" i="9"/>
  <c r="M12" i="9"/>
  <c r="C22" i="9"/>
  <c r="M10" i="9"/>
  <c r="D12" i="9"/>
  <c r="M41" i="9"/>
  <c r="C41" i="9" s="1"/>
  <c r="M18" i="9"/>
  <c r="H20" i="9"/>
  <c r="H10" i="9" s="1"/>
  <c r="J21" i="9"/>
  <c r="J11" i="9" s="1"/>
  <c r="J8" i="9" s="1"/>
  <c r="E21" i="9"/>
  <c r="E11" i="9" s="1"/>
  <c r="N213" i="9"/>
  <c r="N263" i="9"/>
  <c r="C263" i="9" s="1"/>
  <c r="N218" i="9"/>
  <c r="C218" i="9" s="1"/>
  <c r="O18" i="9"/>
  <c r="L18" i="9"/>
  <c r="D18" i="9"/>
  <c r="D9" i="9"/>
  <c r="I10" i="9"/>
  <c r="K11" i="9"/>
  <c r="K18" i="9"/>
  <c r="G20" i="9"/>
  <c r="F332" i="9"/>
  <c r="D10" i="9"/>
  <c r="L8" i="9"/>
  <c r="E9" i="9"/>
  <c r="I335" i="9"/>
  <c r="I357" i="9"/>
  <c r="C357" i="9" s="1"/>
  <c r="F21" i="9"/>
  <c r="F11" i="9" s="1"/>
  <c r="H21" i="9"/>
  <c r="H11" i="9" s="1"/>
  <c r="H421" i="9"/>
  <c r="C421" i="9" s="1"/>
  <c r="D11" i="9"/>
  <c r="I332" i="9" l="1"/>
  <c r="C332" i="9" s="1"/>
  <c r="C335" i="9"/>
  <c r="C295" i="9"/>
  <c r="N20" i="9"/>
  <c r="C20" i="9" s="1"/>
  <c r="C213" i="9"/>
  <c r="J18" i="9"/>
  <c r="H8" i="9"/>
  <c r="C12" i="9"/>
  <c r="M8" i="9"/>
  <c r="H18" i="9"/>
  <c r="E8" i="9"/>
  <c r="E18" i="9"/>
  <c r="F8" i="9"/>
  <c r="F18" i="9"/>
  <c r="N212" i="9"/>
  <c r="C212" i="9" s="1"/>
  <c r="N217" i="9"/>
  <c r="C217" i="9" s="1"/>
  <c r="G18" i="9"/>
  <c r="G10" i="9"/>
  <c r="G8" i="9" s="1"/>
  <c r="D8" i="9"/>
  <c r="K8" i="9"/>
  <c r="I21" i="9"/>
  <c r="C21" i="9" s="1"/>
  <c r="N10" i="9" l="1"/>
  <c r="C10" i="9" s="1"/>
  <c r="N211" i="9"/>
  <c r="C211" i="9" s="1"/>
  <c r="N19" i="9"/>
  <c r="C19" i="9" s="1"/>
  <c r="I11" i="9"/>
  <c r="C11" i="9" s="1"/>
  <c r="I18" i="9"/>
  <c r="N9" i="9" l="1"/>
  <c r="C9" i="9" s="1"/>
  <c r="C8" i="9" s="1"/>
  <c r="N18" i="9"/>
  <c r="C18" i="9" s="1"/>
  <c r="I8" i="9"/>
  <c r="N8" i="9" l="1"/>
</calcChain>
</file>

<file path=xl/sharedStrings.xml><?xml version="1.0" encoding="utf-8"?>
<sst xmlns="http://schemas.openxmlformats.org/spreadsheetml/2006/main" count="501" uniqueCount="162">
  <si>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</si>
  <si>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</si>
  <si>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</si>
  <si>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</si>
  <si>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</si>
  <si>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</si>
  <si>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</si>
  <si>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 ПРОГРАММЕ, В ТОМ ЧИСЛЕ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</si>
  <si>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</si>
  <si>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</si>
  <si>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</si>
  <si>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</si>
  <si>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</si>
  <si>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Прочие нужды</t>
  </si>
  <si>
    <t>2.Прочие нужды</t>
  </si>
  <si>
    <t>Всего по направлению «Прочие нужды», в том числе</t>
  </si>
  <si>
    <t>ВСЕГО ПО ПОДПРОГРАММЕ 2, В ТОМ ЧИСЛЕ</t>
  </si>
  <si>
    <t>Всего по направлению «Прочие нужды»,в том числе</t>
  </si>
  <si>
    <t>Мероприятие 2. Организация предоставления общего образования и создание условий для содержания детей в муниципальных образовательных организациях, всего, из них:</t>
  </si>
  <si>
    <t>Мероприятие 3. Осуществление мероприятий по организации питания в муниципальных общеобразовательных организациях, всего, из них:</t>
  </si>
  <si>
    <t>ВСЕГО ПО ПОДПРОГРАММЕ 4, В ТОМ ЧИСЛЕ</t>
  </si>
  <si>
    <t>2. Прочие нужды</t>
  </si>
  <si>
    <t>Всего по направлению «Прочие нужды»,  в том числе</t>
  </si>
  <si>
    <t xml:space="preserve">внебюджетные источники </t>
  </si>
  <si>
    <t>1.Капитальные вложения</t>
  </si>
  <si>
    <t>Всего по направлению «Капитальные вложения»,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</si>
  <si>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</si>
  <si>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 &lt;1&gt;, в том числе:</t>
  </si>
  <si>
    <t>1.2. Иные капитальные вложения</t>
  </si>
  <si>
    <t>Иные капитальные вложения, всего, в том числе:</t>
  </si>
  <si>
    <t>в том числе на проведение капитального ремонта спортивных залов:</t>
  </si>
  <si>
    <t>Подпрограмма 8. «Доступная среда»</t>
  </si>
  <si>
    <t>ВСЕГО ПО ПОДПРОГРАММЕ 8,  В ТОМ ЧИСЛЕ</t>
  </si>
  <si>
    <t>1.Прочие нужды</t>
  </si>
  <si>
    <t>Всего по направлению «Прочие нужды», 
в том числе</t>
  </si>
  <si>
    <t>ВСЕГО ПО ПОДПРОГРАММЕ 7, 
В ТОМ ЧИСЛЕ</t>
  </si>
  <si>
    <t>ВСЕГО ПО ПОДПРОГРАММЕ 1, 
В ТОМ ЧИСЛЕ</t>
  </si>
  <si>
    <t xml:space="preserve"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организациях, всего, из них: </t>
  </si>
  <si>
    <t>ВСЕГО 
ПО ПОДПРОГРАММЕ 3, 
В ТОМ ЧИСЛЕ</t>
  </si>
  <si>
    <t>ВСЕГО ПО 
ПОДПРОГРАММЕ 6, 
В ТОМ ЧИСЛЕ</t>
  </si>
  <si>
    <t>ВСЕГО ПО ПОДПРОГРАММЕ 5, 
В ТОМ ЧИСЛЕ</t>
  </si>
  <si>
    <t>Объем расходов на выполнение мероприятия за счет всех источников ресурсного обеспечения, рублей</t>
  </si>
  <si>
    <t>Номера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</si>
  <si>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</si>
  <si>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2021 год</t>
  </si>
  <si>
    <t>2022 год</t>
  </si>
  <si>
    <t>2023 год</t>
  </si>
  <si>
    <t>2024 год</t>
  </si>
  <si>
    <t>в том числе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6) всего, их них:</t>
  </si>
  <si>
    <t>1.1.1.1.
1.1.1.2.
1.1.1.3.</t>
  </si>
  <si>
    <t>2.2.1.4.</t>
  </si>
  <si>
    <t>3.3.1.1.
3.3.1.2.</t>
  </si>
  <si>
    <t>4.4.1.4.</t>
  </si>
  <si>
    <t>4.4.1.5.</t>
  </si>
  <si>
    <t>5.5.1.2.</t>
  </si>
  <si>
    <t>5.5.1.3.</t>
  </si>
  <si>
    <t>7.7.1.1.</t>
  </si>
  <si>
    <t>7.7.1.2.</t>
  </si>
  <si>
    <t>4.4.1.4.
4.4.1.5.</t>
  </si>
  <si>
    <t>местный бюджет
в том числе:</t>
  </si>
  <si>
    <t>2.2.4.1.</t>
  </si>
  <si>
    <t>3.3.2.1.</t>
  </si>
  <si>
    <t>3.3.3.1.</t>
  </si>
  <si>
    <t>3.3.4.1.</t>
  </si>
  <si>
    <t>3.3.5.1.</t>
  </si>
  <si>
    <t>3.3.5.1.
3.3.6.1.</t>
  </si>
  <si>
    <t>3.3.6.1.</t>
  </si>
  <si>
    <t>3.3.7.1.
3.3.8.1.</t>
  </si>
  <si>
    <t>3.3.9.1.</t>
  </si>
  <si>
    <t>5.5.2.1.
5.5.2.2.</t>
  </si>
  <si>
    <t>7.7.3.1.</t>
  </si>
  <si>
    <t>7.7.4.1.</t>
  </si>
  <si>
    <t>8.8.1.1.
8.8.1.2.
8.8.2.1.</t>
  </si>
  <si>
    <t>3.3.1.3., 
3.3.1.4.</t>
  </si>
  <si>
    <t xml:space="preserve"> в МАОУ СОШ № 1 по адресу: Свердловская обл., г. Кушва, ул. Союзов, 14 (обустройство футбольного поля с устройством покрытия, беговой дорожки, баскетбольной и волейбольной площадки, прыжковой ямы, площадки со спортивным оборудованием, в  том числе для сдачи обучающимися общеобразовательных организаций нормативов ВФСК "ГТО")</t>
  </si>
  <si>
    <t>3.3.5.1., 3.3.6.1.</t>
  </si>
  <si>
    <t>4.4.2.1.</t>
  </si>
  <si>
    <t>5.5.1.5.</t>
  </si>
  <si>
    <t>5.5.1.4.</t>
  </si>
  <si>
    <t>2.2.6.1.</t>
  </si>
  <si>
    <t>5.5.1.6.</t>
  </si>
  <si>
    <t>2.2.1.5.,
2.2.1.6.,
2.2.1.7.,
2.2.1.8.</t>
  </si>
  <si>
    <t>в том числе на организацию питьевого режима в оздоровительных лагерях с дневным пребыванием детей</t>
  </si>
  <si>
    <t>Мероприятие 5. Организация бесплатного горячего питания обучающихся, получающих начальное общее образование в муниципальных образовательных организациях, в том числе:</t>
  </si>
  <si>
    <t>Мероприятие 6. Ежемесячное денежное вознаграждение за классное руководство педагогическим работникам муниципальных общеобразовательных организаций, в том числе:</t>
  </si>
  <si>
    <t>Мероприятие 7. 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 , в том числе:</t>
  </si>
  <si>
    <t>Мероприятие 4. Создание в муниципальных общеобразовательных организациях условий для организации горячего питания обучающихся, в том числе:</t>
  </si>
  <si>
    <t>2025 год</t>
  </si>
  <si>
    <t>Мероприятие 8. 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в том числе:</t>
  </si>
  <si>
    <t>2.2.1.9</t>
  </si>
  <si>
    <t>в том числе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</si>
  <si>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2026 год</t>
  </si>
  <si>
    <t>7.7.4.2.</t>
  </si>
  <si>
    <t xml:space="preserve"> 2.2.1.1.,
2.2.1.2.
2.2.1.3., 2.2.1.4.
2.2.2.1., 2.2.2.2.
2.2.3.1.,
2.2.4.1.,
2.2.5.1.,
 2.2.5.2.
2.2.6.1., 2.2.6.2,
2.2.7.1,
2.2.7.2, 2.2.1.10.</t>
  </si>
  <si>
    <t>6.6.1.1, 6.6.1.2.</t>
  </si>
  <si>
    <t>6.6.1.3.</t>
  </si>
  <si>
    <t>6.6.1.4.</t>
  </si>
  <si>
    <t>6.6.2.1.</t>
  </si>
  <si>
    <t>7.7.5.1.
7.7.5.2.</t>
  </si>
  <si>
    <t>2027 год</t>
  </si>
  <si>
    <t>2028 год</t>
  </si>
  <si>
    <t>2029 год</t>
  </si>
  <si>
    <t>2030 год</t>
  </si>
  <si>
    <t>Номер строки</t>
  </si>
  <si>
    <t xml:space="preserve"> </t>
  </si>
  <si>
    <t>Мероприятие 9.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в том числе:</t>
  </si>
  <si>
    <t>Мероприятие 10. Организация предоставления дополнительного образования детей в муниципальных организациях дополнительного образования, всего, из них:</t>
  </si>
  <si>
    <t>Мероприятие 11. Мероприятия по поддержке талантливой и способной молодежи всего, из них:</t>
  </si>
  <si>
    <t>Мероприятие 12. Реализация городского проекта «Молодежная инициатива»,  всего, из них:</t>
  </si>
  <si>
    <t>Мероприятие 13. Создание и обеспечение деятельности молодежных "коворкинг-центров" всего, из них:</t>
  </si>
  <si>
    <t>Мероприятие 14.  Создание условий для организации патриотического воспитания граждан – всего, из них:</t>
  </si>
  <si>
    <t>Мероприятие 15. Приобретение оборудования и инвентаря для организаций, занимающихся патриотическим воспитанием и допризывной подготовкой молодежи к военной службе - всего, в том числе:</t>
  </si>
  <si>
    <t>Мероприятие 16. Организация и проведение военно-спортивных игр, военно-спортивных мероприятий - всего, в том числе:</t>
  </si>
  <si>
    <t>Мероприятие 17. Участие граждан в возрасте от 14 до 18 лет в военно-спортивных играх и оборонно-спортивных оздоровительных лагерях на территории Свердловской области - всего, в том числе:</t>
  </si>
  <si>
    <t>Мероприятие 18. Создание трудовых отрядов из несовершеннолетних граждан для выполнения работ по благоустройству и озеленению города с целью социально-трудовой адаптации, всего, из них:</t>
  </si>
  <si>
    <t>Мероприятие 19. Уральская инженерная школа. Приобретение оборудования для создания направления "Робототехника", всего, из них,</t>
  </si>
  <si>
    <t>Мероприятие 20. Обеспечение персонифицированного финансирования дополнительного образования детей, всего, из них:</t>
  </si>
  <si>
    <t>Мероприятие 21. Организация военно-патриотического воспитания и допризывной подготовки молодых граждан</t>
  </si>
  <si>
    <t>Мероприятие 22. Развитие сети муниципальных учреждений по работе с молодежью</t>
  </si>
  <si>
    <t>Мероприятие 23. Обеспечение деятельности органов местного самоуправления (органов местной администрации) (центральный аппарат) - всего, из них:</t>
  </si>
  <si>
    <t>Мероприятие 24. Техническое, методическое, правовое сопровождение, ведение бухгалтерского, налогового, статистического, бюджетного учета для обеспечения деятельности муниципальных учреждений и органа местного самоуправления (органа местной администрации) в сфере образования - всего, из них:</t>
  </si>
  <si>
    <t>Мероприятие 27. Установка, ремонт ограждений территории образовательных организаций, всего, из них:</t>
  </si>
  <si>
    <t>Мероприятие 28. Проведение капитального и текущего ремонта  зданий и помещений муниципальных учреждений с целью приведения путей эвакуации людей при возникновении пожара и мест с массовым нахождением людей на объектах в соответствие с требованиями федерального законодательства,  из них:</t>
  </si>
  <si>
    <t>Мероприятие 29. Приобретение средств индивидуальной защиты (противогазов), согласно требованиям законодательства Российской Федерации (Приказ МЧС РФ от 21 декабря 2005 года № 993), всего, из них:</t>
  </si>
  <si>
    <t>Мероприятие 30. Оборудование кабинета «Светофор», всего, из них:</t>
  </si>
  <si>
    <t>Мероприятие 31. Установка видеонаблюдения, всего, 
из них:</t>
  </si>
  <si>
    <t>Мероприятие 32. 
Вывод сигнала о пожаре на ПЧ в соответствие с требованиями федерального законодательства, всего, 
из них:</t>
  </si>
  <si>
    <t>Мероприятие 33. Осуществление мероприятий направленных на соблюдение требований и норм санитарного законодательства, всего, из них:</t>
  </si>
  <si>
    <t>Мероприятие 34. Осуществление мероприятий по энергосбережению и повышению энергетической эффективности, всего, из них:</t>
  </si>
  <si>
    <t>Мероприятие 35. Осуществление мероприятий направленных на соблюдение требований и норм пожарной безопасности, всего, из них:</t>
  </si>
  <si>
    <t>Мероприятие 36. Осуществление мероприятий, направленных на соблюдение требований и норм антитеррористической защищенности, всего, из них:</t>
  </si>
  <si>
    <t>Мероприятие 37.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</si>
  <si>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Мероприятие 40. Организация отдыха и оздоровления детей в учебное время, включая мероприятия по обеспечению безопасности их жизни и здоровья -  всего, из них:</t>
  </si>
  <si>
    <t>Мероприятие 41. Обеспечение подвоза учащихся на новогодние мероприятия для детей, родители (законные представители) которых принимают (принимали) участие в специальной военной операции</t>
  </si>
  <si>
    <t>Мероприятие 44.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– всего, из них</t>
  </si>
  <si>
    <t>Мероприятие 45. Приобретение и (или) замена автобусов для подвоза обучающихся в муниципальные общеобразовательные учреждения всего, из них:</t>
  </si>
  <si>
    <t>Мероприятие 46. Приобретение оборудования, оргтехники и комплектующих к ним всего, их них:</t>
  </si>
  <si>
    <t>Мероприятие 47. Обеспечение мероприятий по оборудованию спортивных площадок в общеобразовательных организациях всего, их них:</t>
  </si>
  <si>
    <t>Мероприятие 48. Реализация проекта инициативного бюджетирования "Территория развития" их них:</t>
  </si>
  <si>
    <t>Мероприятие 49. Обустройство площадки Территория безопасности - Автогородок в МАОУ СОШ № 1 по адресу: Свердловская область, г. Кушва, ул. Союзов, д. 14 (в том числе разработка проектно-сметной документации, получение заключений, проведение экспертиз), всего, из них:</t>
  </si>
  <si>
    <t>Мероприятие 50. Реализация мероприятий по обеспечению доступности приоритетных объектов и услуг в приоритетных сферах жизнедеятельности инвалидом и других маломобильных групп населения, всего,  из них:</t>
  </si>
  <si>
    <t>3.3.2.1</t>
  </si>
  <si>
    <r>
      <t xml:space="preserve">в том числе </t>
    </r>
    <r>
      <rPr>
        <b/>
        <i/>
        <sz val="11"/>
        <rFont val="Liberation Serif"/>
        <family val="1"/>
        <charset val="204"/>
      </rPr>
      <t>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4)  всего, их них: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</si>
  <si>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(МОУ СОШ пос.Азиатская) всего, их них:
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</si>
  <si>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на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организаяциях (МАОУ СОШ № 1, МАОУ СОШ № 4) всего, их них:</t>
    </r>
  </si>
  <si>
    <r>
      <rPr>
        <i/>
        <sz val="11"/>
        <rFont val="Liberation Serif"/>
        <family val="1"/>
        <charset val="204"/>
      </rPr>
      <t>в том числе</t>
    </r>
    <r>
      <rPr>
        <b/>
        <i/>
        <sz val="11"/>
        <rFont val="Liberation Serif"/>
        <family val="1"/>
        <charset val="204"/>
      </rPr>
      <t xml:space="preserve"> реализация мероприятий по модернизации школьных систем образования (Оснащение МАОУ СОШ № 4, расположенной по адресу: пл. Культуры, 2, г. Кушва, средствами обучения и воспитания, не требующими предварительной сборки, установки и закрепления на фундаментах или опорах)</t>
    </r>
  </si>
  <si>
    <t>Мероприятие 25. Поощрение победителей профессиональных конкурсов для педагогических работников образовательных организаций, подведомственных Управлению образования Кушвинского муниципального округа</t>
  </si>
  <si>
    <t>Мероприятие 26. Осуществление меры материального стимулирования граждан, заключивших договор о целевом обучении по образовательной программе среднего профессионального или высшего образования с дальнейшим обязательством трудоустройства в образовательные организации в отношении которых полномочия учредителя осуществляет Управление образования Кушвинского муниципального округа</t>
  </si>
  <si>
    <t>Подпрограмма 7. «Укрепление и развитие материально-технической базы муниципальных учреждений, подведомственных 
Управлению образования Кушвинского муниципального округа»</t>
  </si>
  <si>
    <t>Мероприятие 42. Разработка проектно- сметной документации  на проведение капитального ремонта муниципальных учреждений, подведомственных Управлению образования Кушвинского муниципального округа (в том числе проведение экспертизы, проведение обследований, получение заключений, проведение кадастровых работ) - всего,    из них:</t>
  </si>
  <si>
    <t>Мероприятие 43. Капитальный ремонт муниципальных учреждений, подведомственных Управлению образования Кушвинского муниципального округа - всего, из них:</t>
  </si>
  <si>
    <t>ПЛАН МЕРОПРИЯТИЙ 
по выполнению муниципальной программы Кушвинского муниципального окуга 
"Развитие системы образования в Кушвинском муниципальном округе до 2030 года"</t>
  </si>
  <si>
    <t>Подпрограмма 1. «Развитие системы дошкольного образования в Кушвинском муниципальном округе»</t>
  </si>
  <si>
    <t>Подпрограмма 2. «Развитие системы общего образования в Кушвинском муниципальном округе»</t>
  </si>
  <si>
    <t xml:space="preserve">Подпрограмма 3. «Развитие системы дополнительного образования в Кушвинском муниципальном округе» </t>
  </si>
  <si>
    <t>Подпрограмма 4. «Обеспечение реализации муниципальной программы Кушвинского муниципального округа «Развитие системы образования в Кушвинском муниципальном округе до 2030 года»</t>
  </si>
  <si>
    <t>Подпрограмма 5.  «Обеспечение комплексной безопасности муниципальных образовательных организаций в Кушвинском муниципальном округе»</t>
  </si>
  <si>
    <t>Подпрограмма 6. «Организация отдыха и оздоровления детей в Кушвинском муниципальном округе»</t>
  </si>
  <si>
    <t>Мероприятие 38. Организация отдыха и оздоровления детей в Кушвинском муниципальном округе -  всего, из них:</t>
  </si>
  <si>
    <t>&lt;1&gt; - Бюджетные инвестиции в объекты капитального строительства указаны в Перечне объектов капитального строительства для бюджетных инвестиций муниципальной программы Кушвинского муниципального округа «Развитие системы образования в Кушвинском муниципальном округе до 2030 года» (приложение № 3 к муниципальной программе Кушвинского муниципального округа «Развитие системы образования в Кушвинском муниципальном округе до 2030 года»)</t>
  </si>
  <si>
    <t>Количество отдельных категорий детей, обеспеченных отдыхом в организациях отдыха и оздоровления, расположенных на побережье Черного моря</t>
  </si>
  <si>
    <t xml:space="preserve">Приложение 2
к постановлению администрации Кушвинского муниципального округа 
от 14.02.2025 № 183
Приложение 2
к муниципальной программе Кушвинского муниципального округа «Развитие системы образования в Кушвинском муниципальном округе до 2030 года»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</si>
</sst>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_р_.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sz val="10"/>
      <color indexed="17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30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b/>
      <i/>
      <sz val="11"/>
      <name val="Liberation Serif"/>
      <family val="1"/>
      <charset val="204"/>
    </font>
    <font>
      <sz val="9"/>
      <name val="Liberation Serif"/>
      <family val="1"/>
      <charset val="204"/>
    </font>
    <font>
      <sz val="10"/>
      <color rgb="FFFFFF00"/>
      <name val="Liberation Serif"/>
      <family val="1"/>
      <charset val="204"/>
    </font>
    <font>
      <i/>
      <sz val="1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horizontal="center" vertical="top" wrapText="1"/>
    </xf>
    <xf numFmtId="4" fontId="2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4" fontId="12" fillId="0" borderId="0" xfId="0" applyNumberFormat="1" applyFont="1" applyFill="1" applyAlignment="1">
      <alignment vertical="top" wrapText="1"/>
    </xf>
    <xf numFmtId="4" fontId="12" fillId="0" borderId="0" xfId="1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13" fillId="0" borderId="1" xfId="0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righ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42"/>
  <sheetViews>
    <sheetView tabSelected="1" view="pageLayout" topLeftCell="A401" zoomScale="60" zoomScaleNormal="80" zoomScaleSheetLayoutView="100" zoomScalePageLayoutView="60" workbookViewId="0">
      <selection sqref="A1:T438"/>
    </sheetView>
  </sheetViews>
  <sheetFormatPr defaultRowHeight="12.75" x14ac:dyDescent="0.2"/>
  <cols>
    <col min="1" max="1" width="6.42578125" style="36" customWidth="1"/>
    <col min="2" max="2" width="33.28515625" style="37" customWidth="1"/>
    <col min="3" max="5" width="18" style="38" customWidth="1"/>
    <col min="6" max="6" width="18" style="39" customWidth="1"/>
    <col min="7" max="7" width="18" style="40" customWidth="1"/>
    <col min="8" max="8" width="18" style="41" customWidth="1"/>
    <col min="9" max="13" width="18" style="38" customWidth="1"/>
    <col min="14" max="14" width="18.42578125" style="38" customWidth="1"/>
    <col min="15" max="15" width="19.5703125" style="38" customWidth="1"/>
    <col min="16" max="16" width="16.5703125" style="38" customWidth="1"/>
    <col min="17" max="17" width="16.42578125" style="38" customWidth="1"/>
    <col min="18" max="18" width="17" style="38" customWidth="1"/>
    <col min="19" max="19" width="18" style="38" customWidth="1"/>
    <col min="20" max="20" width="19.28515625" style="37" customWidth="1"/>
    <col min="21" max="21" width="20" style="38" customWidth="1"/>
    <col min="22" max="22" width="13.140625" style="37" bestFit="1" customWidth="1"/>
    <col min="23" max="23" width="15.140625" style="37" customWidth="1"/>
    <col min="24" max="24" width="11.7109375" style="37" bestFit="1" customWidth="1"/>
    <col min="25" max="16384" width="9.140625" style="37"/>
  </cols>
  <sheetData>
    <row r="1" spans="1:24" ht="18.75" customHeight="1" x14ac:dyDescent="0.2"/>
    <row r="2" spans="1:24" s="5" customFormat="1" ht="99.75" customHeight="1" x14ac:dyDescent="0.2">
      <c r="A2" s="1"/>
      <c r="B2" s="2"/>
      <c r="C2" s="2"/>
      <c r="D2" s="2" t="s">
        <v>104</v>
      </c>
      <c r="E2" s="2"/>
      <c r="F2" s="3"/>
      <c r="G2" s="4"/>
      <c r="L2" s="49" t="s">
        <v>161</v>
      </c>
      <c r="M2" s="49"/>
      <c r="N2" s="49"/>
      <c r="O2" s="49"/>
      <c r="P2" s="49"/>
      <c r="Q2" s="49"/>
      <c r="R2" s="49"/>
      <c r="S2" s="49"/>
      <c r="T2" s="49"/>
    </row>
    <row r="3" spans="1:24" s="5" customFormat="1" ht="51" customHeight="1" x14ac:dyDescent="0.2">
      <c r="A3" s="1"/>
      <c r="B3" s="50" t="s">
        <v>151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2"/>
    </row>
    <row r="4" spans="1:24" s="5" customFormat="1" x14ac:dyDescent="0.2">
      <c r="A4" s="1"/>
      <c r="C4" s="2"/>
      <c r="D4" s="2"/>
      <c r="E4" s="2"/>
      <c r="F4" s="3"/>
      <c r="G4" s="4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U4" s="2"/>
    </row>
    <row r="5" spans="1:24" s="5" customFormat="1" ht="30.75" customHeight="1" x14ac:dyDescent="0.2">
      <c r="A5" s="51" t="s">
        <v>103</v>
      </c>
      <c r="B5" s="51" t="s">
        <v>43</v>
      </c>
      <c r="C5" s="52" t="s">
        <v>41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4"/>
      <c r="T5" s="51" t="s">
        <v>42</v>
      </c>
      <c r="U5" s="2"/>
    </row>
    <row r="6" spans="1:24" s="5" customFormat="1" ht="42.75" customHeight="1" x14ac:dyDescent="0.2">
      <c r="A6" s="51"/>
      <c r="B6" s="51"/>
      <c r="C6" s="7" t="s">
        <v>0</v>
      </c>
      <c r="D6" s="7" t="s">
        <v>1</v>
      </c>
      <c r="E6" s="7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44</v>
      </c>
      <c r="K6" s="7" t="s">
        <v>45</v>
      </c>
      <c r="L6" s="7" t="s">
        <v>46</v>
      </c>
      <c r="M6" s="7" t="s">
        <v>47</v>
      </c>
      <c r="N6" s="7" t="s">
        <v>87</v>
      </c>
      <c r="O6" s="7" t="s">
        <v>91</v>
      </c>
      <c r="P6" s="7" t="s">
        <v>99</v>
      </c>
      <c r="Q6" s="7" t="s">
        <v>100</v>
      </c>
      <c r="R6" s="7" t="s">
        <v>101</v>
      </c>
      <c r="S6" s="7" t="s">
        <v>102</v>
      </c>
      <c r="T6" s="51"/>
      <c r="U6" s="2"/>
    </row>
    <row r="7" spans="1:24" s="42" customFormat="1" x14ac:dyDescent="0.2">
      <c r="A7" s="43">
        <v>1</v>
      </c>
      <c r="B7" s="43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  <c r="L7" s="44">
        <v>12</v>
      </c>
      <c r="M7" s="44">
        <v>13</v>
      </c>
      <c r="N7" s="44">
        <v>14</v>
      </c>
      <c r="O7" s="44">
        <v>15</v>
      </c>
      <c r="P7" s="44">
        <v>16</v>
      </c>
      <c r="Q7" s="44">
        <v>17</v>
      </c>
      <c r="R7" s="44">
        <v>18</v>
      </c>
      <c r="S7" s="44">
        <v>19</v>
      </c>
      <c r="T7" s="43">
        <v>20</v>
      </c>
      <c r="U7" s="2"/>
    </row>
    <row r="8" spans="1:24" s="5" customFormat="1" ht="57" x14ac:dyDescent="0.2">
      <c r="A8" s="8">
        <v>1</v>
      </c>
      <c r="B8" s="9" t="s">
        <v>7</v>
      </c>
      <c r="C8" s="10">
        <f>C9+C10+C11+C12</f>
        <v>16355260349.220001</v>
      </c>
      <c r="D8" s="11">
        <f t="shared" ref="D8:I8" si="0">D9+D10+D11+D12</f>
        <v>627202671.33999991</v>
      </c>
      <c r="E8" s="11">
        <f t="shared" si="0"/>
        <v>668837379.42000008</v>
      </c>
      <c r="F8" s="11">
        <f t="shared" si="0"/>
        <v>660426324.64999998</v>
      </c>
      <c r="G8" s="11">
        <f t="shared" si="0"/>
        <v>739750006.95000005</v>
      </c>
      <c r="H8" s="11">
        <f t="shared" si="0"/>
        <v>854072407.16999996</v>
      </c>
      <c r="I8" s="11">
        <f t="shared" si="0"/>
        <v>896104555.76999998</v>
      </c>
      <c r="J8" s="11">
        <f t="shared" ref="J8:S8" si="1">J9+J10+J11+J12</f>
        <v>919715652.67000008</v>
      </c>
      <c r="K8" s="11">
        <f t="shared" si="1"/>
        <v>1012153751.4399998</v>
      </c>
      <c r="L8" s="11">
        <f t="shared" si="1"/>
        <v>1092560718.3400002</v>
      </c>
      <c r="M8" s="11">
        <f t="shared" si="1"/>
        <v>1319471471.5999999</v>
      </c>
      <c r="N8" s="11">
        <f t="shared" si="1"/>
        <v>1300468650.8099999</v>
      </c>
      <c r="O8" s="11">
        <f t="shared" si="1"/>
        <v>1345119829.1900001</v>
      </c>
      <c r="P8" s="11">
        <f>P10+P11+P12</f>
        <v>1322681329.1900001</v>
      </c>
      <c r="Q8" s="11">
        <f t="shared" si="1"/>
        <v>1198898533.5599999</v>
      </c>
      <c r="R8" s="11">
        <f t="shared" si="1"/>
        <v>1198898533.5599999</v>
      </c>
      <c r="S8" s="11">
        <f t="shared" si="1"/>
        <v>1198898533.5599999</v>
      </c>
      <c r="T8" s="12"/>
      <c r="U8" s="2"/>
    </row>
    <row r="9" spans="1:24" s="5" customFormat="1" ht="14.25" x14ac:dyDescent="0.2">
      <c r="A9" s="13">
        <v>2</v>
      </c>
      <c r="B9" s="14" t="s">
        <v>8</v>
      </c>
      <c r="C9" s="15">
        <f t="shared" ref="C9:C22" si="2">SUM(D9:S9)</f>
        <v>1243431</v>
      </c>
      <c r="D9" s="16">
        <f t="shared" ref="D9:N12" si="3">D14+D19</f>
        <v>1243431</v>
      </c>
      <c r="E9" s="16">
        <f t="shared" si="3"/>
        <v>0</v>
      </c>
      <c r="F9" s="16">
        <f t="shared" si="3"/>
        <v>0</v>
      </c>
      <c r="G9" s="16">
        <f>G14+G19</f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>M14+M19</f>
        <v>0</v>
      </c>
      <c r="N9" s="16">
        <f t="shared" si="3"/>
        <v>0</v>
      </c>
      <c r="O9" s="16">
        <f t="shared" ref="O9:S9" si="4">O14+O19</f>
        <v>0</v>
      </c>
      <c r="P9" s="16">
        <f t="shared" si="4"/>
        <v>0</v>
      </c>
      <c r="Q9" s="16">
        <f t="shared" si="4"/>
        <v>0</v>
      </c>
      <c r="R9" s="16">
        <f t="shared" si="4"/>
        <v>0</v>
      </c>
      <c r="S9" s="16">
        <f t="shared" si="4"/>
        <v>0</v>
      </c>
      <c r="T9" s="12"/>
      <c r="U9" s="2"/>
    </row>
    <row r="10" spans="1:24" s="5" customFormat="1" ht="14.25" x14ac:dyDescent="0.2">
      <c r="A10" s="13">
        <v>3</v>
      </c>
      <c r="B10" s="14" t="s">
        <v>9</v>
      </c>
      <c r="C10" s="15">
        <f t="shared" si="2"/>
        <v>9875570432.2299995</v>
      </c>
      <c r="D10" s="16">
        <f t="shared" si="3"/>
        <v>293909221</v>
      </c>
      <c r="E10" s="16">
        <f t="shared" si="3"/>
        <v>367560000</v>
      </c>
      <c r="F10" s="16">
        <f t="shared" si="3"/>
        <v>386353670</v>
      </c>
      <c r="G10" s="16">
        <f t="shared" si="3"/>
        <v>402089929.17000002</v>
      </c>
      <c r="H10" s="16">
        <f t="shared" si="3"/>
        <v>436056150</v>
      </c>
      <c r="I10" s="16">
        <f t="shared" si="3"/>
        <v>461814153.54000002</v>
      </c>
      <c r="J10" s="16">
        <f t="shared" si="3"/>
        <v>512579700</v>
      </c>
      <c r="K10" s="16">
        <f>K15+K20</f>
        <v>568059897.19999981</v>
      </c>
      <c r="L10" s="16">
        <f t="shared" si="3"/>
        <v>642971736.40999997</v>
      </c>
      <c r="M10" s="16">
        <f>M15+M20</f>
        <v>787118774.90999997</v>
      </c>
      <c r="N10" s="16">
        <f t="shared" si="3"/>
        <v>831742100</v>
      </c>
      <c r="O10" s="16">
        <f t="shared" ref="O10:S10" si="5">O15+O20</f>
        <v>898508900</v>
      </c>
      <c r="P10" s="16">
        <f t="shared" si="5"/>
        <v>936070400</v>
      </c>
      <c r="Q10" s="16">
        <f t="shared" si="5"/>
        <v>783578600</v>
      </c>
      <c r="R10" s="16">
        <f t="shared" si="5"/>
        <v>783578600</v>
      </c>
      <c r="S10" s="16">
        <f t="shared" si="5"/>
        <v>783578600</v>
      </c>
      <c r="T10" s="12"/>
      <c r="U10" s="2"/>
      <c r="V10" s="2"/>
      <c r="W10" s="2"/>
      <c r="X10" s="2"/>
    </row>
    <row r="11" spans="1:24" s="5" customFormat="1" ht="14.25" x14ac:dyDescent="0.2">
      <c r="A11" s="8">
        <v>4</v>
      </c>
      <c r="B11" s="14" t="s">
        <v>10</v>
      </c>
      <c r="C11" s="15">
        <f t="shared" si="2"/>
        <v>4849419892.8800001</v>
      </c>
      <c r="D11" s="16">
        <f t="shared" si="3"/>
        <v>282835287.83999991</v>
      </c>
      <c r="E11" s="16">
        <f t="shared" si="3"/>
        <v>228844584.91000003</v>
      </c>
      <c r="F11" s="16">
        <f t="shared" si="3"/>
        <v>219338208.72999999</v>
      </c>
      <c r="G11" s="16">
        <f t="shared" si="3"/>
        <v>248804177.25</v>
      </c>
      <c r="H11" s="16">
        <f t="shared" si="3"/>
        <v>302025031.58999991</v>
      </c>
      <c r="I11" s="16">
        <f t="shared" si="3"/>
        <v>335729491.50999999</v>
      </c>
      <c r="J11" s="16">
        <f t="shared" si="3"/>
        <v>284054396.86000001</v>
      </c>
      <c r="K11" s="16">
        <f>K16+K21</f>
        <v>324524287.93000001</v>
      </c>
      <c r="L11" s="16">
        <f t="shared" si="3"/>
        <v>341727578.28000003</v>
      </c>
      <c r="M11" s="16">
        <f>M16+M21</f>
        <v>416280047.01999992</v>
      </c>
      <c r="N11" s="16">
        <f t="shared" si="3"/>
        <v>357164528.25000006</v>
      </c>
      <c r="O11" s="16">
        <f t="shared" ref="O11:S11" si="6">O16+O21</f>
        <v>332393051.92000008</v>
      </c>
      <c r="P11" s="16">
        <f t="shared" si="6"/>
        <v>272393051.92000002</v>
      </c>
      <c r="Q11" s="16">
        <f t="shared" si="6"/>
        <v>301102056.28999996</v>
      </c>
      <c r="R11" s="16">
        <f t="shared" si="6"/>
        <v>301102056.28999996</v>
      </c>
      <c r="S11" s="16">
        <f t="shared" si="6"/>
        <v>301102056.28999996</v>
      </c>
      <c r="T11" s="12"/>
      <c r="U11" s="2"/>
      <c r="V11" s="2"/>
    </row>
    <row r="12" spans="1:24" s="5" customFormat="1" ht="14.25" x14ac:dyDescent="0.2">
      <c r="A12" s="13">
        <v>5</v>
      </c>
      <c r="B12" s="14" t="s">
        <v>11</v>
      </c>
      <c r="C12" s="15">
        <f t="shared" si="2"/>
        <v>1629026593.1099999</v>
      </c>
      <c r="D12" s="16">
        <f t="shared" si="3"/>
        <v>49214731.5</v>
      </c>
      <c r="E12" s="16">
        <f>E17+E22</f>
        <v>72432794.50999999</v>
      </c>
      <c r="F12" s="16">
        <f>F17+F22</f>
        <v>54734445.920000002</v>
      </c>
      <c r="G12" s="16">
        <f t="shared" si="3"/>
        <v>88855900.530000001</v>
      </c>
      <c r="H12" s="16">
        <f t="shared" si="3"/>
        <v>115991225.58000003</v>
      </c>
      <c r="I12" s="16">
        <f t="shared" si="3"/>
        <v>98560910.720000014</v>
      </c>
      <c r="J12" s="16">
        <f t="shared" si="3"/>
        <v>123081555.81</v>
      </c>
      <c r="K12" s="16">
        <f t="shared" si="3"/>
        <v>119569566.30999999</v>
      </c>
      <c r="L12" s="16">
        <f t="shared" si="3"/>
        <v>107861403.65000001</v>
      </c>
      <c r="M12" s="16">
        <f>M17+M22</f>
        <v>116072649.66999999</v>
      </c>
      <c r="N12" s="16">
        <f t="shared" si="3"/>
        <v>111562022.56</v>
      </c>
      <c r="O12" s="16">
        <f t="shared" ref="O12:S12" si="7">O17+O22</f>
        <v>114217877.27000001</v>
      </c>
      <c r="P12" s="16">
        <f t="shared" si="7"/>
        <v>114217877.27000001</v>
      </c>
      <c r="Q12" s="16">
        <f t="shared" si="7"/>
        <v>114217877.27000001</v>
      </c>
      <c r="R12" s="16">
        <f t="shared" si="7"/>
        <v>114217877.27000001</v>
      </c>
      <c r="S12" s="16">
        <f t="shared" si="7"/>
        <v>114217877.27000001</v>
      </c>
      <c r="T12" s="12"/>
      <c r="U12" s="2"/>
    </row>
    <row r="13" spans="1:24" s="5" customFormat="1" ht="14.25" x14ac:dyDescent="0.2">
      <c r="A13" s="8">
        <v>6</v>
      </c>
      <c r="B13" s="9" t="s">
        <v>12</v>
      </c>
      <c r="C13" s="15">
        <f t="shared" si="2"/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2"/>
      <c r="U13" s="2"/>
    </row>
    <row r="14" spans="1:24" s="5" customFormat="1" ht="14.25" x14ac:dyDescent="0.2">
      <c r="A14" s="13">
        <v>7</v>
      </c>
      <c r="B14" s="14" t="s">
        <v>8</v>
      </c>
      <c r="C14" s="15">
        <f t="shared" si="2"/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2"/>
      <c r="U14" s="2"/>
    </row>
    <row r="15" spans="1:24" s="5" customFormat="1" ht="14.25" x14ac:dyDescent="0.2">
      <c r="A15" s="8">
        <v>8</v>
      </c>
      <c r="B15" s="14" t="s">
        <v>9</v>
      </c>
      <c r="C15" s="15">
        <f t="shared" si="2"/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2"/>
      <c r="U15" s="2"/>
    </row>
    <row r="16" spans="1:24" s="5" customFormat="1" ht="14.25" x14ac:dyDescent="0.2">
      <c r="A16" s="8">
        <v>9</v>
      </c>
      <c r="B16" s="14" t="s">
        <v>10</v>
      </c>
      <c r="C16" s="15">
        <f t="shared" si="2"/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2"/>
      <c r="U16" s="2"/>
    </row>
    <row r="17" spans="1:21" s="5" customFormat="1" ht="14.25" x14ac:dyDescent="0.2">
      <c r="A17" s="13">
        <v>10</v>
      </c>
      <c r="B17" s="14" t="s">
        <v>11</v>
      </c>
      <c r="C17" s="15">
        <f t="shared" si="2"/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2"/>
      <c r="U17" s="2"/>
    </row>
    <row r="18" spans="1:21" s="5" customFormat="1" ht="14.25" x14ac:dyDescent="0.2">
      <c r="A18" s="13">
        <v>11</v>
      </c>
      <c r="B18" s="9" t="s">
        <v>13</v>
      </c>
      <c r="C18" s="15">
        <f t="shared" si="2"/>
        <v>16355260349.219997</v>
      </c>
      <c r="D18" s="16">
        <f t="shared" ref="D18:I18" si="8">SUM(D19:D22)</f>
        <v>627202671.33999991</v>
      </c>
      <c r="E18" s="16">
        <f t="shared" si="8"/>
        <v>668837379.42000008</v>
      </c>
      <c r="F18" s="16">
        <f>SUM(F19:F22)</f>
        <v>660426324.64999998</v>
      </c>
      <c r="G18" s="16">
        <f t="shared" si="8"/>
        <v>739750006.95000005</v>
      </c>
      <c r="H18" s="16">
        <f t="shared" si="8"/>
        <v>854072407.16999996</v>
      </c>
      <c r="I18" s="16">
        <f t="shared" si="8"/>
        <v>896104555.76999998</v>
      </c>
      <c r="J18" s="16">
        <f t="shared" ref="J18:O18" si="9">SUM(J19:J22)</f>
        <v>919715652.67000008</v>
      </c>
      <c r="K18" s="16">
        <f t="shared" si="9"/>
        <v>1012153751.4399998</v>
      </c>
      <c r="L18" s="16">
        <f t="shared" si="9"/>
        <v>1092560718.3400002</v>
      </c>
      <c r="M18" s="16">
        <f t="shared" si="9"/>
        <v>1319471471.5999999</v>
      </c>
      <c r="N18" s="16">
        <f t="shared" si="9"/>
        <v>1300468650.8099999</v>
      </c>
      <c r="O18" s="16">
        <f t="shared" si="9"/>
        <v>1345119829.1900001</v>
      </c>
      <c r="P18" s="16">
        <f t="shared" ref="P18:S18" si="10">SUM(P19:P22)</f>
        <v>1322681329.1900001</v>
      </c>
      <c r="Q18" s="16">
        <f t="shared" si="10"/>
        <v>1198898533.5599999</v>
      </c>
      <c r="R18" s="16">
        <f t="shared" si="10"/>
        <v>1198898533.5599999</v>
      </c>
      <c r="S18" s="16">
        <f t="shared" si="10"/>
        <v>1198898533.5599999</v>
      </c>
      <c r="T18" s="12"/>
      <c r="U18" s="2"/>
    </row>
    <row r="19" spans="1:21" s="5" customFormat="1" ht="14.25" x14ac:dyDescent="0.2">
      <c r="A19" s="8">
        <v>12</v>
      </c>
      <c r="B19" s="14" t="s">
        <v>8</v>
      </c>
      <c r="C19" s="15">
        <f t="shared" si="2"/>
        <v>1243431</v>
      </c>
      <c r="D19" s="16">
        <f t="shared" ref="D19:S19" si="11">D25+D42+D101+D179+D212+D290+D333+D422</f>
        <v>1243431</v>
      </c>
      <c r="E19" s="16">
        <f t="shared" si="11"/>
        <v>0</v>
      </c>
      <c r="F19" s="16">
        <f t="shared" si="11"/>
        <v>0</v>
      </c>
      <c r="G19" s="16">
        <f t="shared" si="11"/>
        <v>0</v>
      </c>
      <c r="H19" s="16">
        <f t="shared" si="11"/>
        <v>0</v>
      </c>
      <c r="I19" s="16">
        <f t="shared" si="11"/>
        <v>0</v>
      </c>
      <c r="J19" s="16">
        <f t="shared" si="11"/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si="11"/>
        <v>0</v>
      </c>
      <c r="O19" s="16">
        <f t="shared" si="11"/>
        <v>0</v>
      </c>
      <c r="P19" s="16">
        <f t="shared" si="11"/>
        <v>0</v>
      </c>
      <c r="Q19" s="16">
        <f t="shared" si="11"/>
        <v>0</v>
      </c>
      <c r="R19" s="16">
        <f t="shared" si="11"/>
        <v>0</v>
      </c>
      <c r="S19" s="16">
        <f t="shared" si="11"/>
        <v>0</v>
      </c>
      <c r="T19" s="12"/>
      <c r="U19" s="2"/>
    </row>
    <row r="20" spans="1:21" s="5" customFormat="1" ht="17.25" customHeight="1" x14ac:dyDescent="0.2">
      <c r="A20" s="13">
        <v>13</v>
      </c>
      <c r="B20" s="14" t="s">
        <v>9</v>
      </c>
      <c r="C20" s="15">
        <f t="shared" si="2"/>
        <v>9875570432.2299995</v>
      </c>
      <c r="D20" s="16">
        <f t="shared" ref="D20:S20" si="12">D26+D43+D102+D180+D213+D291+D334+D423</f>
        <v>293909221</v>
      </c>
      <c r="E20" s="16">
        <f t="shared" si="12"/>
        <v>367560000</v>
      </c>
      <c r="F20" s="16">
        <f t="shared" si="12"/>
        <v>386353670</v>
      </c>
      <c r="G20" s="16">
        <f t="shared" si="12"/>
        <v>402089929.17000002</v>
      </c>
      <c r="H20" s="16">
        <f t="shared" si="12"/>
        <v>436056150</v>
      </c>
      <c r="I20" s="16">
        <f t="shared" si="12"/>
        <v>461814153.54000002</v>
      </c>
      <c r="J20" s="16">
        <f t="shared" si="12"/>
        <v>512579700</v>
      </c>
      <c r="K20" s="16">
        <f t="shared" si="12"/>
        <v>568059897.19999981</v>
      </c>
      <c r="L20" s="16">
        <f t="shared" si="12"/>
        <v>642971736.40999997</v>
      </c>
      <c r="M20" s="16">
        <f t="shared" si="12"/>
        <v>787118774.90999997</v>
      </c>
      <c r="N20" s="16">
        <f t="shared" si="12"/>
        <v>831742100</v>
      </c>
      <c r="O20" s="16">
        <f t="shared" si="12"/>
        <v>898508900</v>
      </c>
      <c r="P20" s="16">
        <f t="shared" si="12"/>
        <v>936070400</v>
      </c>
      <c r="Q20" s="16">
        <f t="shared" si="12"/>
        <v>783578600</v>
      </c>
      <c r="R20" s="16">
        <f t="shared" si="12"/>
        <v>783578600</v>
      </c>
      <c r="S20" s="16">
        <f t="shared" si="12"/>
        <v>783578600</v>
      </c>
      <c r="T20" s="12"/>
      <c r="U20" s="2"/>
    </row>
    <row r="21" spans="1:21" s="5" customFormat="1" ht="14.25" x14ac:dyDescent="0.2">
      <c r="A21" s="8">
        <v>14</v>
      </c>
      <c r="B21" s="14" t="s">
        <v>10</v>
      </c>
      <c r="C21" s="15">
        <f t="shared" si="2"/>
        <v>4849419892.8800001</v>
      </c>
      <c r="D21" s="16">
        <f t="shared" ref="D21:S21" si="13">D27+D44+D103+D181+D214+D292+D335+D424</f>
        <v>282835287.83999991</v>
      </c>
      <c r="E21" s="16">
        <f t="shared" si="13"/>
        <v>228844584.91000003</v>
      </c>
      <c r="F21" s="16">
        <f t="shared" si="13"/>
        <v>219338208.72999999</v>
      </c>
      <c r="G21" s="16">
        <f t="shared" si="13"/>
        <v>248804177.25</v>
      </c>
      <c r="H21" s="16">
        <f t="shared" si="13"/>
        <v>302025031.58999991</v>
      </c>
      <c r="I21" s="16">
        <f t="shared" si="13"/>
        <v>335729491.50999999</v>
      </c>
      <c r="J21" s="16">
        <f t="shared" si="13"/>
        <v>284054396.86000001</v>
      </c>
      <c r="K21" s="16">
        <f t="shared" si="13"/>
        <v>324524287.93000001</v>
      </c>
      <c r="L21" s="16">
        <f t="shared" si="13"/>
        <v>341727578.28000003</v>
      </c>
      <c r="M21" s="16">
        <f t="shared" si="13"/>
        <v>416280047.01999992</v>
      </c>
      <c r="N21" s="16">
        <f t="shared" si="13"/>
        <v>357164528.25000006</v>
      </c>
      <c r="O21" s="16">
        <f t="shared" si="13"/>
        <v>332393051.92000008</v>
      </c>
      <c r="P21" s="16">
        <f t="shared" si="13"/>
        <v>272393051.92000002</v>
      </c>
      <c r="Q21" s="16">
        <f t="shared" si="13"/>
        <v>301102056.28999996</v>
      </c>
      <c r="R21" s="16">
        <f t="shared" si="13"/>
        <v>301102056.28999996</v>
      </c>
      <c r="S21" s="16">
        <f t="shared" si="13"/>
        <v>301102056.28999996</v>
      </c>
      <c r="T21" s="12"/>
      <c r="U21" s="2"/>
    </row>
    <row r="22" spans="1:21" s="5" customFormat="1" ht="14.25" x14ac:dyDescent="0.2">
      <c r="A22" s="13">
        <v>15</v>
      </c>
      <c r="B22" s="14" t="s">
        <v>11</v>
      </c>
      <c r="C22" s="15">
        <f t="shared" si="2"/>
        <v>1629026593.1099999</v>
      </c>
      <c r="D22" s="16">
        <f t="shared" ref="D22:S22" si="14">D28+D45+D104+D182+D215+D293+D336+D425</f>
        <v>49214731.5</v>
      </c>
      <c r="E22" s="16">
        <f t="shared" si="14"/>
        <v>72432794.50999999</v>
      </c>
      <c r="F22" s="16">
        <f t="shared" si="14"/>
        <v>54734445.920000002</v>
      </c>
      <c r="G22" s="16">
        <f t="shared" si="14"/>
        <v>88855900.530000001</v>
      </c>
      <c r="H22" s="16">
        <f t="shared" si="14"/>
        <v>115991225.58000003</v>
      </c>
      <c r="I22" s="16">
        <f t="shared" si="14"/>
        <v>98560910.720000014</v>
      </c>
      <c r="J22" s="16">
        <f t="shared" si="14"/>
        <v>123081555.81</v>
      </c>
      <c r="K22" s="16">
        <f t="shared" si="14"/>
        <v>119569566.30999999</v>
      </c>
      <c r="L22" s="16">
        <f t="shared" si="14"/>
        <v>107861403.65000001</v>
      </c>
      <c r="M22" s="16">
        <f t="shared" si="14"/>
        <v>116072649.66999999</v>
      </c>
      <c r="N22" s="16">
        <f t="shared" si="14"/>
        <v>111562022.56</v>
      </c>
      <c r="O22" s="16">
        <f t="shared" si="14"/>
        <v>114217877.27000001</v>
      </c>
      <c r="P22" s="16">
        <f t="shared" si="14"/>
        <v>114217877.27000001</v>
      </c>
      <c r="Q22" s="16">
        <f t="shared" si="14"/>
        <v>114217877.27000001</v>
      </c>
      <c r="R22" s="16">
        <f t="shared" si="14"/>
        <v>114217877.27000001</v>
      </c>
      <c r="S22" s="16">
        <f t="shared" si="14"/>
        <v>114217877.27000001</v>
      </c>
      <c r="T22" s="12"/>
      <c r="U22" s="2"/>
    </row>
    <row r="23" spans="1:21" s="5" customFormat="1" ht="18.75" customHeight="1" x14ac:dyDescent="0.2">
      <c r="A23" s="8">
        <v>16</v>
      </c>
      <c r="B23" s="48" t="s">
        <v>152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2"/>
    </row>
    <row r="24" spans="1:21" s="5" customFormat="1" ht="42.75" x14ac:dyDescent="0.2">
      <c r="A24" s="8">
        <v>17</v>
      </c>
      <c r="B24" s="9" t="s">
        <v>36</v>
      </c>
      <c r="C24" s="17">
        <f>SUM(D24:S24)</f>
        <v>6536017544.5500002</v>
      </c>
      <c r="D24" s="17">
        <f t="shared" ref="D24:N28" si="15">D30</f>
        <v>256085377.97999999</v>
      </c>
      <c r="E24" s="17">
        <f t="shared" si="15"/>
        <v>284947011.17999995</v>
      </c>
      <c r="F24" s="17">
        <f>F30</f>
        <v>274025976.61000001</v>
      </c>
      <c r="G24" s="17">
        <f t="shared" si="15"/>
        <v>309909780.48000002</v>
      </c>
      <c r="H24" s="17">
        <f t="shared" si="15"/>
        <v>331359886.13</v>
      </c>
      <c r="I24" s="17">
        <f t="shared" si="15"/>
        <v>339485162.73000002</v>
      </c>
      <c r="J24" s="17">
        <f t="shared" si="15"/>
        <v>382759174.60000002</v>
      </c>
      <c r="K24" s="17">
        <f t="shared" si="15"/>
        <v>402409829.81</v>
      </c>
      <c r="L24" s="17">
        <f t="shared" si="15"/>
        <v>415253529.83999997</v>
      </c>
      <c r="M24" s="17">
        <f>M30</f>
        <v>494601792.64999998</v>
      </c>
      <c r="N24" s="17">
        <f t="shared" si="15"/>
        <v>502672482.94</v>
      </c>
      <c r="O24" s="17">
        <f t="shared" ref="O24:S24" si="16">O30</f>
        <v>525560041.44</v>
      </c>
      <c r="P24" s="17">
        <f t="shared" si="16"/>
        <v>536332415.67000002</v>
      </c>
      <c r="Q24" s="17">
        <f t="shared" si="16"/>
        <v>493538360.83000004</v>
      </c>
      <c r="R24" s="17">
        <f t="shared" si="16"/>
        <v>493538360.83000004</v>
      </c>
      <c r="S24" s="17">
        <f t="shared" si="16"/>
        <v>493538360.83000004</v>
      </c>
      <c r="T24" s="12"/>
      <c r="U24" s="2"/>
    </row>
    <row r="25" spans="1:21" s="5" customFormat="1" ht="14.25" x14ac:dyDescent="0.2">
      <c r="A25" s="13">
        <v>18</v>
      </c>
      <c r="B25" s="14" t="s">
        <v>8</v>
      </c>
      <c r="C25" s="16">
        <f t="shared" ref="C25:C28" si="17">SUM(D25:S25)</f>
        <v>0</v>
      </c>
      <c r="D25" s="16">
        <f t="shared" si="15"/>
        <v>0</v>
      </c>
      <c r="E25" s="16">
        <f t="shared" si="15"/>
        <v>0</v>
      </c>
      <c r="F25" s="16">
        <f t="shared" si="15"/>
        <v>0</v>
      </c>
      <c r="G25" s="16">
        <f t="shared" si="15"/>
        <v>0</v>
      </c>
      <c r="H25" s="16">
        <f t="shared" si="15"/>
        <v>0</v>
      </c>
      <c r="I25" s="16">
        <f t="shared" si="15"/>
        <v>0</v>
      </c>
      <c r="J25" s="16">
        <f t="shared" si="15"/>
        <v>0</v>
      </c>
      <c r="K25" s="16">
        <f t="shared" si="15"/>
        <v>0</v>
      </c>
      <c r="L25" s="16">
        <f t="shared" si="15"/>
        <v>0</v>
      </c>
      <c r="M25" s="16">
        <f>M31</f>
        <v>0</v>
      </c>
      <c r="N25" s="16">
        <f t="shared" si="15"/>
        <v>0</v>
      </c>
      <c r="O25" s="16">
        <f t="shared" ref="O25:S25" si="18">O31</f>
        <v>0</v>
      </c>
      <c r="P25" s="16">
        <f t="shared" si="18"/>
        <v>0</v>
      </c>
      <c r="Q25" s="16">
        <f t="shared" si="18"/>
        <v>0</v>
      </c>
      <c r="R25" s="16">
        <f t="shared" si="18"/>
        <v>0</v>
      </c>
      <c r="S25" s="16">
        <f t="shared" si="18"/>
        <v>0</v>
      </c>
      <c r="T25" s="12"/>
      <c r="U25" s="2"/>
    </row>
    <row r="26" spans="1:21" s="5" customFormat="1" ht="14.25" x14ac:dyDescent="0.2">
      <c r="A26" s="13">
        <v>19</v>
      </c>
      <c r="B26" s="14" t="s">
        <v>9</v>
      </c>
      <c r="C26" s="16">
        <f t="shared" si="17"/>
        <v>3822843139.6999998</v>
      </c>
      <c r="D26" s="16">
        <f t="shared" si="15"/>
        <v>104002000</v>
      </c>
      <c r="E26" s="16">
        <f t="shared" si="15"/>
        <v>143294994.62999997</v>
      </c>
      <c r="F26" s="16">
        <f t="shared" si="15"/>
        <v>149690365</v>
      </c>
      <c r="G26" s="16">
        <f t="shared" si="15"/>
        <v>155157475</v>
      </c>
      <c r="H26" s="16">
        <f t="shared" si="15"/>
        <v>171895188.5</v>
      </c>
      <c r="I26" s="16">
        <f t="shared" si="15"/>
        <v>180259950.19999999</v>
      </c>
      <c r="J26" s="16">
        <f>J32</f>
        <v>201772979</v>
      </c>
      <c r="K26" s="16">
        <f>K32</f>
        <v>218274695.88999999</v>
      </c>
      <c r="L26" s="16">
        <f>L32</f>
        <v>236217645.75999999</v>
      </c>
      <c r="M26" s="16">
        <f>M32</f>
        <v>293294345.72000003</v>
      </c>
      <c r="N26" s="16">
        <f>N32</f>
        <v>323871000</v>
      </c>
      <c r="O26" s="16">
        <f>O32</f>
        <v>350941000</v>
      </c>
      <c r="P26" s="16">
        <f t="shared" ref="P26:S26" si="19">P32</f>
        <v>375846000</v>
      </c>
      <c r="Q26" s="16">
        <f t="shared" si="19"/>
        <v>306108500</v>
      </c>
      <c r="R26" s="16">
        <f t="shared" si="19"/>
        <v>306108500</v>
      </c>
      <c r="S26" s="16">
        <f t="shared" si="19"/>
        <v>306108500</v>
      </c>
      <c r="T26" s="12"/>
      <c r="U26" s="2"/>
    </row>
    <row r="27" spans="1:21" s="5" customFormat="1" ht="14.25" x14ac:dyDescent="0.2">
      <c r="A27" s="8">
        <v>20</v>
      </c>
      <c r="B27" s="14" t="s">
        <v>10</v>
      </c>
      <c r="C27" s="16">
        <f t="shared" si="17"/>
        <v>1637945657.4200001</v>
      </c>
      <c r="D27" s="16">
        <f t="shared" si="15"/>
        <v>103075359.76000001</v>
      </c>
      <c r="E27" s="16">
        <f t="shared" si="15"/>
        <v>71978225.640000001</v>
      </c>
      <c r="F27" s="16">
        <f>F33</f>
        <v>72972610.010000005</v>
      </c>
      <c r="G27" s="16">
        <f t="shared" si="15"/>
        <v>91032028.530000016</v>
      </c>
      <c r="H27" s="16">
        <f t="shared" si="15"/>
        <v>89011985.75999999</v>
      </c>
      <c r="I27" s="16">
        <f t="shared" si="15"/>
        <v>94961187.430000007</v>
      </c>
      <c r="J27" s="16">
        <f t="shared" si="15"/>
        <v>95564533.879999995</v>
      </c>
      <c r="K27" s="16">
        <f t="shared" si="15"/>
        <v>109577561.47</v>
      </c>
      <c r="L27" s="16">
        <f t="shared" si="15"/>
        <v>115587548.08</v>
      </c>
      <c r="M27" s="16">
        <f>M33</f>
        <v>129645573.77</v>
      </c>
      <c r="N27" s="16">
        <f t="shared" si="15"/>
        <v>112405115.29000001</v>
      </c>
      <c r="O27" s="16">
        <f t="shared" ref="O27:S27" si="20">O33</f>
        <v>105566819.08</v>
      </c>
      <c r="P27" s="16">
        <f t="shared" si="20"/>
        <v>91434193.310000002</v>
      </c>
      <c r="Q27" s="16">
        <f t="shared" si="20"/>
        <v>118377638.47</v>
      </c>
      <c r="R27" s="16">
        <f t="shared" si="20"/>
        <v>118377638.47</v>
      </c>
      <c r="S27" s="16">
        <f t="shared" si="20"/>
        <v>118377638.47</v>
      </c>
      <c r="T27" s="12"/>
      <c r="U27" s="2"/>
    </row>
    <row r="28" spans="1:21" s="5" customFormat="1" ht="14.25" x14ac:dyDescent="0.2">
      <c r="A28" s="13">
        <v>21</v>
      </c>
      <c r="B28" s="14" t="s">
        <v>11</v>
      </c>
      <c r="C28" s="16">
        <f t="shared" si="17"/>
        <v>1075228747.4300001</v>
      </c>
      <c r="D28" s="16">
        <f t="shared" si="15"/>
        <v>49008018.219999999</v>
      </c>
      <c r="E28" s="16">
        <f t="shared" si="15"/>
        <v>69673790.909999996</v>
      </c>
      <c r="F28" s="16">
        <f>F34</f>
        <v>51363001.600000001</v>
      </c>
      <c r="G28" s="16">
        <f t="shared" si="15"/>
        <v>63720276.950000003</v>
      </c>
      <c r="H28" s="16">
        <f t="shared" si="15"/>
        <v>70452711.870000005</v>
      </c>
      <c r="I28" s="16">
        <f>I39</f>
        <v>64264025.100000001</v>
      </c>
      <c r="J28" s="16">
        <f t="shared" si="15"/>
        <v>85421661.720000014</v>
      </c>
      <c r="K28" s="16">
        <f t="shared" si="15"/>
        <v>74557572.450000003</v>
      </c>
      <c r="L28" s="16">
        <f t="shared" si="15"/>
        <v>63448336</v>
      </c>
      <c r="M28" s="16">
        <f>M34</f>
        <v>71661873.159999996</v>
      </c>
      <c r="N28" s="16">
        <f t="shared" si="15"/>
        <v>66396367.649999999</v>
      </c>
      <c r="O28" s="16">
        <f t="shared" ref="O28:S28" si="21">O34</f>
        <v>69052222.359999999</v>
      </c>
      <c r="P28" s="16">
        <f t="shared" si="21"/>
        <v>69052222.359999999</v>
      </c>
      <c r="Q28" s="16">
        <f t="shared" si="21"/>
        <v>69052222.359999999</v>
      </c>
      <c r="R28" s="16">
        <f t="shared" si="21"/>
        <v>69052222.359999999</v>
      </c>
      <c r="S28" s="16">
        <f t="shared" si="21"/>
        <v>69052222.359999999</v>
      </c>
      <c r="T28" s="12"/>
      <c r="U28" s="2"/>
    </row>
    <row r="29" spans="1:21" s="5" customFormat="1" ht="15" x14ac:dyDescent="0.2">
      <c r="A29" s="8">
        <v>22</v>
      </c>
      <c r="B29" s="48" t="s">
        <v>14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2"/>
    </row>
    <row r="30" spans="1:21" s="5" customFormat="1" ht="33.75" customHeight="1" x14ac:dyDescent="0.2">
      <c r="A30" s="13">
        <v>23</v>
      </c>
      <c r="B30" s="9" t="s">
        <v>15</v>
      </c>
      <c r="C30" s="17">
        <f>SUM(D30:S30)</f>
        <v>6536017544.5500002</v>
      </c>
      <c r="D30" s="16">
        <f t="shared" ref="D30:N34" si="22">D35</f>
        <v>256085377.97999999</v>
      </c>
      <c r="E30" s="16">
        <f t="shared" si="22"/>
        <v>284947011.17999995</v>
      </c>
      <c r="F30" s="16">
        <f>F35</f>
        <v>274025976.61000001</v>
      </c>
      <c r="G30" s="16">
        <f>G35</f>
        <v>309909780.48000002</v>
      </c>
      <c r="H30" s="16">
        <f t="shared" si="22"/>
        <v>331359886.13</v>
      </c>
      <c r="I30" s="16">
        <f t="shared" si="22"/>
        <v>339485162.73000002</v>
      </c>
      <c r="J30" s="16">
        <f t="shared" si="22"/>
        <v>382759174.60000002</v>
      </c>
      <c r="K30" s="16">
        <f t="shared" si="22"/>
        <v>402409829.81</v>
      </c>
      <c r="L30" s="16">
        <f t="shared" si="22"/>
        <v>415253529.83999997</v>
      </c>
      <c r="M30" s="16">
        <f>M35</f>
        <v>494601792.64999998</v>
      </c>
      <c r="N30" s="16">
        <f t="shared" si="22"/>
        <v>502672482.94</v>
      </c>
      <c r="O30" s="16">
        <f t="shared" ref="O30:S30" si="23">O35</f>
        <v>525560041.44</v>
      </c>
      <c r="P30" s="16">
        <f t="shared" si="23"/>
        <v>536332415.67000002</v>
      </c>
      <c r="Q30" s="16">
        <f t="shared" si="23"/>
        <v>493538360.83000004</v>
      </c>
      <c r="R30" s="16">
        <f t="shared" si="23"/>
        <v>493538360.83000004</v>
      </c>
      <c r="S30" s="16">
        <f t="shared" si="23"/>
        <v>493538360.83000004</v>
      </c>
      <c r="T30" s="12"/>
      <c r="U30" s="2"/>
    </row>
    <row r="31" spans="1:21" s="5" customFormat="1" ht="14.25" x14ac:dyDescent="0.2">
      <c r="A31" s="8">
        <v>24</v>
      </c>
      <c r="B31" s="14" t="s">
        <v>8</v>
      </c>
      <c r="C31" s="16">
        <f>SUM(D31:S31)</f>
        <v>0</v>
      </c>
      <c r="D31" s="16">
        <f t="shared" si="22"/>
        <v>0</v>
      </c>
      <c r="E31" s="16">
        <f t="shared" si="22"/>
        <v>0</v>
      </c>
      <c r="F31" s="16">
        <f t="shared" si="22"/>
        <v>0</v>
      </c>
      <c r="G31" s="16">
        <f t="shared" si="22"/>
        <v>0</v>
      </c>
      <c r="H31" s="16">
        <f t="shared" si="22"/>
        <v>0</v>
      </c>
      <c r="I31" s="16">
        <f>I36</f>
        <v>0</v>
      </c>
      <c r="J31" s="16">
        <f t="shared" si="22"/>
        <v>0</v>
      </c>
      <c r="K31" s="16">
        <f t="shared" si="22"/>
        <v>0</v>
      </c>
      <c r="L31" s="16">
        <f t="shared" si="22"/>
        <v>0</v>
      </c>
      <c r="M31" s="16">
        <f>M36</f>
        <v>0</v>
      </c>
      <c r="N31" s="16">
        <f t="shared" si="22"/>
        <v>0</v>
      </c>
      <c r="O31" s="16">
        <f t="shared" ref="O31:S31" si="24">O36</f>
        <v>0</v>
      </c>
      <c r="P31" s="16">
        <f t="shared" si="24"/>
        <v>0</v>
      </c>
      <c r="Q31" s="16">
        <f t="shared" si="24"/>
        <v>0</v>
      </c>
      <c r="R31" s="16">
        <f t="shared" si="24"/>
        <v>0</v>
      </c>
      <c r="S31" s="16">
        <f t="shared" si="24"/>
        <v>0</v>
      </c>
      <c r="T31" s="12"/>
      <c r="U31" s="2"/>
    </row>
    <row r="32" spans="1:21" s="5" customFormat="1" ht="14.25" x14ac:dyDescent="0.2">
      <c r="A32" s="8">
        <v>25</v>
      </c>
      <c r="B32" s="14" t="s">
        <v>9</v>
      </c>
      <c r="C32" s="16">
        <f t="shared" ref="C32:C34" si="25">SUM(D32:S32)</f>
        <v>3822843139.6999998</v>
      </c>
      <c r="D32" s="16">
        <f t="shared" si="22"/>
        <v>104002000</v>
      </c>
      <c r="E32" s="16">
        <f t="shared" si="22"/>
        <v>143294994.62999997</v>
      </c>
      <c r="F32" s="16">
        <f t="shared" si="22"/>
        <v>149690365</v>
      </c>
      <c r="G32" s="16">
        <f t="shared" si="22"/>
        <v>155157475</v>
      </c>
      <c r="H32" s="16">
        <f>H37</f>
        <v>171895188.5</v>
      </c>
      <c r="I32" s="16">
        <f>I37</f>
        <v>180259950.19999999</v>
      </c>
      <c r="J32" s="16">
        <f t="shared" si="22"/>
        <v>201772979</v>
      </c>
      <c r="K32" s="16">
        <f t="shared" si="22"/>
        <v>218274695.88999999</v>
      </c>
      <c r="L32" s="16">
        <f t="shared" si="22"/>
        <v>236217645.75999999</v>
      </c>
      <c r="M32" s="16">
        <f>M37</f>
        <v>293294345.72000003</v>
      </c>
      <c r="N32" s="16">
        <f t="shared" si="22"/>
        <v>323871000</v>
      </c>
      <c r="O32" s="16">
        <f>O37</f>
        <v>350941000</v>
      </c>
      <c r="P32" s="16">
        <f>P37</f>
        <v>375846000</v>
      </c>
      <c r="Q32" s="16">
        <v>306108500</v>
      </c>
      <c r="R32" s="16">
        <v>306108500</v>
      </c>
      <c r="S32" s="16">
        <v>306108500</v>
      </c>
      <c r="T32" s="12"/>
      <c r="U32" s="2"/>
    </row>
    <row r="33" spans="1:23" s="5" customFormat="1" ht="14.25" x14ac:dyDescent="0.2">
      <c r="A33" s="13">
        <v>26</v>
      </c>
      <c r="B33" s="14" t="s">
        <v>10</v>
      </c>
      <c r="C33" s="16">
        <f t="shared" si="25"/>
        <v>1637945657.4200001</v>
      </c>
      <c r="D33" s="16">
        <f t="shared" si="22"/>
        <v>103075359.76000001</v>
      </c>
      <c r="E33" s="16">
        <f t="shared" si="22"/>
        <v>71978225.640000001</v>
      </c>
      <c r="F33" s="16">
        <f t="shared" si="22"/>
        <v>72972610.010000005</v>
      </c>
      <c r="G33" s="16">
        <f t="shared" si="22"/>
        <v>91032028.530000016</v>
      </c>
      <c r="H33" s="16">
        <f>H38</f>
        <v>89011985.75999999</v>
      </c>
      <c r="I33" s="16">
        <f>I38</f>
        <v>94961187.430000007</v>
      </c>
      <c r="J33" s="16">
        <f t="shared" si="22"/>
        <v>95564533.879999995</v>
      </c>
      <c r="K33" s="16">
        <f t="shared" si="22"/>
        <v>109577561.47</v>
      </c>
      <c r="L33" s="16">
        <f t="shared" si="22"/>
        <v>115587548.08</v>
      </c>
      <c r="M33" s="16">
        <f>M38</f>
        <v>129645573.77</v>
      </c>
      <c r="N33" s="16">
        <f t="shared" si="22"/>
        <v>112405115.29000001</v>
      </c>
      <c r="O33" s="16">
        <f>O38</f>
        <v>105566819.08</v>
      </c>
      <c r="P33" s="16">
        <f>P38</f>
        <v>91434193.310000002</v>
      </c>
      <c r="Q33" s="16">
        <f t="shared" ref="Q33:S33" si="26">Q38</f>
        <v>118377638.47</v>
      </c>
      <c r="R33" s="16">
        <f t="shared" si="26"/>
        <v>118377638.47</v>
      </c>
      <c r="S33" s="16">
        <f t="shared" si="26"/>
        <v>118377638.47</v>
      </c>
      <c r="T33" s="12"/>
      <c r="U33" s="2"/>
    </row>
    <row r="34" spans="1:23" s="5" customFormat="1" ht="14.25" x14ac:dyDescent="0.2">
      <c r="A34" s="13">
        <v>27</v>
      </c>
      <c r="B34" s="14" t="s">
        <v>11</v>
      </c>
      <c r="C34" s="16">
        <f t="shared" si="25"/>
        <v>1075228747.4300001</v>
      </c>
      <c r="D34" s="16">
        <f t="shared" si="22"/>
        <v>49008018.219999999</v>
      </c>
      <c r="E34" s="16">
        <f t="shared" si="22"/>
        <v>69673790.909999996</v>
      </c>
      <c r="F34" s="16">
        <f t="shared" si="22"/>
        <v>51363001.600000001</v>
      </c>
      <c r="G34" s="16">
        <f t="shared" si="22"/>
        <v>63720276.950000003</v>
      </c>
      <c r="H34" s="16">
        <f>H39</f>
        <v>70452711.870000005</v>
      </c>
      <c r="I34" s="16">
        <f>I39</f>
        <v>64264025.100000001</v>
      </c>
      <c r="J34" s="16">
        <f t="shared" si="22"/>
        <v>85421661.720000014</v>
      </c>
      <c r="K34" s="16">
        <f t="shared" si="22"/>
        <v>74557572.450000003</v>
      </c>
      <c r="L34" s="16">
        <f t="shared" si="22"/>
        <v>63448336</v>
      </c>
      <c r="M34" s="16">
        <f>M39</f>
        <v>71661873.159999996</v>
      </c>
      <c r="N34" s="16">
        <f t="shared" si="22"/>
        <v>66396367.649999999</v>
      </c>
      <c r="O34" s="16">
        <f t="shared" ref="O34:S34" si="27">O39</f>
        <v>69052222.359999999</v>
      </c>
      <c r="P34" s="16">
        <f t="shared" si="27"/>
        <v>69052222.359999999</v>
      </c>
      <c r="Q34" s="16">
        <f t="shared" si="27"/>
        <v>69052222.359999999</v>
      </c>
      <c r="R34" s="16">
        <f t="shared" si="27"/>
        <v>69052222.359999999</v>
      </c>
      <c r="S34" s="16">
        <f t="shared" si="27"/>
        <v>69052222.359999999</v>
      </c>
      <c r="T34" s="12"/>
      <c r="U34" s="2"/>
    </row>
    <row r="35" spans="1:23" s="5" customFormat="1" ht="106.5" customHeight="1" x14ac:dyDescent="0.2">
      <c r="A35" s="8">
        <v>28</v>
      </c>
      <c r="B35" s="18" t="s">
        <v>37</v>
      </c>
      <c r="C35" s="17">
        <f>SUM(D35:S35)</f>
        <v>6536017544.5500002</v>
      </c>
      <c r="D35" s="17">
        <f t="shared" ref="D35:N35" si="28">D36+D37+D38+D39</f>
        <v>256085377.97999999</v>
      </c>
      <c r="E35" s="17">
        <f t="shared" si="28"/>
        <v>284947011.17999995</v>
      </c>
      <c r="F35" s="17">
        <f>F36+F37+F38+F39</f>
        <v>274025976.61000001</v>
      </c>
      <c r="G35" s="17">
        <f t="shared" si="28"/>
        <v>309909780.48000002</v>
      </c>
      <c r="H35" s="17">
        <f t="shared" si="28"/>
        <v>331359886.13</v>
      </c>
      <c r="I35" s="17">
        <f t="shared" si="28"/>
        <v>339485162.73000002</v>
      </c>
      <c r="J35" s="17">
        <f t="shared" si="28"/>
        <v>382759174.60000002</v>
      </c>
      <c r="K35" s="17">
        <f t="shared" si="28"/>
        <v>402409829.81</v>
      </c>
      <c r="L35" s="17">
        <f t="shared" si="28"/>
        <v>415253529.83999997</v>
      </c>
      <c r="M35" s="17">
        <f>M36+M37+M38+M39</f>
        <v>494601792.64999998</v>
      </c>
      <c r="N35" s="17">
        <f t="shared" si="28"/>
        <v>502672482.94</v>
      </c>
      <c r="O35" s="17">
        <f t="shared" ref="O35:S35" si="29">O36+O37+O38+O39</f>
        <v>525560041.44</v>
      </c>
      <c r="P35" s="17">
        <f t="shared" si="29"/>
        <v>536332415.67000002</v>
      </c>
      <c r="Q35" s="17">
        <f t="shared" si="29"/>
        <v>493538360.83000004</v>
      </c>
      <c r="R35" s="17">
        <f t="shared" si="29"/>
        <v>493538360.83000004</v>
      </c>
      <c r="S35" s="17">
        <f t="shared" si="29"/>
        <v>493538360.83000004</v>
      </c>
      <c r="T35" s="8" t="s">
        <v>49</v>
      </c>
      <c r="U35" s="2"/>
    </row>
    <row r="36" spans="1:23" s="5" customFormat="1" ht="14.25" x14ac:dyDescent="0.2">
      <c r="A36" s="13">
        <v>29</v>
      </c>
      <c r="B36" s="14" t="s">
        <v>8</v>
      </c>
      <c r="C36" s="16">
        <f>SUM(D36:S36)</f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8"/>
      <c r="U36" s="2"/>
    </row>
    <row r="37" spans="1:23" s="5" customFormat="1" ht="14.25" x14ac:dyDescent="0.2">
      <c r="A37" s="8">
        <v>30</v>
      </c>
      <c r="B37" s="14" t="s">
        <v>9</v>
      </c>
      <c r="C37" s="16">
        <f t="shared" ref="C37:C39" si="30">SUM(D37:S37)</f>
        <v>3822843139.6999998</v>
      </c>
      <c r="D37" s="16">
        <v>104002000</v>
      </c>
      <c r="E37" s="20">
        <f>143934000-490702.3-148192.11+23375-18037.68-5448.28</f>
        <v>143294994.62999997</v>
      </c>
      <c r="F37" s="16">
        <f>145442600+2662400+882904.43+23375-11902.87+535407+161693-6111.56</f>
        <v>149690365</v>
      </c>
      <c r="G37" s="16">
        <f>154246631.88+1952900-1075000+32943.12</f>
        <v>155157475</v>
      </c>
      <c r="H37" s="16">
        <f>161911788.5+10557800-574400</f>
        <v>171895188.5</v>
      </c>
      <c r="I37" s="16">
        <f>183191772.2+2680000-5611822</f>
        <v>180259950.19999999</v>
      </c>
      <c r="J37" s="16">
        <f>192652051.5+6591290.5+2726437-196800</f>
        <v>201772979</v>
      </c>
      <c r="K37" s="16">
        <v>218274695.88999999</v>
      </c>
      <c r="L37" s="16">
        <v>236217645.75999999</v>
      </c>
      <c r="M37" s="16">
        <v>293294345.72000003</v>
      </c>
      <c r="N37" s="16">
        <v>323871000</v>
      </c>
      <c r="O37" s="16">
        <v>350941000</v>
      </c>
      <c r="P37" s="16">
        <v>375846000</v>
      </c>
      <c r="Q37" s="16">
        <v>306108500</v>
      </c>
      <c r="R37" s="16">
        <v>306108500</v>
      </c>
      <c r="S37" s="16">
        <v>306108500</v>
      </c>
      <c r="T37" s="21"/>
      <c r="U37" s="22"/>
      <c r="V37" s="2"/>
    </row>
    <row r="38" spans="1:23" s="5" customFormat="1" ht="14.25" x14ac:dyDescent="0.2">
      <c r="A38" s="13">
        <v>31</v>
      </c>
      <c r="B38" s="14" t="s">
        <v>10</v>
      </c>
      <c r="C38" s="16">
        <f t="shared" si="30"/>
        <v>1637945657.4200001</v>
      </c>
      <c r="D38" s="16">
        <v>103075359.76000001</v>
      </c>
      <c r="E38" s="20">
        <f>72483820.39-142100.45-363494.3</f>
        <v>71978225.640000001</v>
      </c>
      <c r="F38" s="16">
        <f>66170821.8+2818237.09+6636.64+6319.01+100000+896100+2769051.01+240544.46+9900-45000</f>
        <v>72972610.010000005</v>
      </c>
      <c r="G38" s="16">
        <f>77489820.96-370401.3-67569.82+37074.18+5964456.26+6989585.41+989062.84</f>
        <v>91032028.530000016</v>
      </c>
      <c r="H38" s="16">
        <f>73756700+1508967.89-1134036+6440051.14+7727790.21+712512.52</f>
        <v>89011985.75999999</v>
      </c>
      <c r="I38" s="16">
        <f>81129585.92+12238055.01+1583246.5+10300</f>
        <v>94961187.430000007</v>
      </c>
      <c r="J38" s="16">
        <f>72727519.34+14882352.21+5282028.38+2259598.13+413035.82</f>
        <v>95564533.879999995</v>
      </c>
      <c r="K38" s="16">
        <v>109577561.47</v>
      </c>
      <c r="L38" s="16">
        <v>115587548.08</v>
      </c>
      <c r="M38" s="16">
        <v>129645573.77</v>
      </c>
      <c r="N38" s="16">
        <v>112405115.29000001</v>
      </c>
      <c r="O38" s="16">
        <v>105566819.08</v>
      </c>
      <c r="P38" s="16">
        <v>91434193.310000002</v>
      </c>
      <c r="Q38" s="16">
        <v>118377638.47</v>
      </c>
      <c r="R38" s="16">
        <v>118377638.47</v>
      </c>
      <c r="S38" s="16">
        <v>118377638.47</v>
      </c>
      <c r="T38" s="8"/>
      <c r="U38" s="2"/>
    </row>
    <row r="39" spans="1:23" s="5" customFormat="1" ht="15.75" customHeight="1" x14ac:dyDescent="0.2">
      <c r="A39" s="8">
        <v>32</v>
      </c>
      <c r="B39" s="14" t="s">
        <v>11</v>
      </c>
      <c r="C39" s="16">
        <f t="shared" si="30"/>
        <v>1075228747.4300001</v>
      </c>
      <c r="D39" s="16">
        <v>49008018.219999999</v>
      </c>
      <c r="E39" s="20">
        <v>69673790.909999996</v>
      </c>
      <c r="F39" s="16">
        <v>51363001.600000001</v>
      </c>
      <c r="G39" s="16">
        <v>63720276.950000003</v>
      </c>
      <c r="H39" s="16">
        <v>70452711.870000005</v>
      </c>
      <c r="I39" s="16">
        <f>63455280.41+7539.85+523054.85+278149.99</f>
        <v>64264025.100000001</v>
      </c>
      <c r="J39" s="16">
        <f>56906477.45+9690315.38+19814407.5+275000.76+473932.8+1090649.35-2829121.52</f>
        <v>85421661.720000014</v>
      </c>
      <c r="K39" s="16">
        <v>74557572.450000003</v>
      </c>
      <c r="L39" s="16">
        <v>63448336</v>
      </c>
      <c r="M39" s="16">
        <v>71661873.159999996</v>
      </c>
      <c r="N39" s="16">
        <v>66396367.649999999</v>
      </c>
      <c r="O39" s="16">
        <v>69052222.359999999</v>
      </c>
      <c r="P39" s="16">
        <v>69052222.359999999</v>
      </c>
      <c r="Q39" s="16">
        <v>69052222.359999999</v>
      </c>
      <c r="R39" s="16">
        <v>69052222.359999999</v>
      </c>
      <c r="S39" s="16">
        <v>69052222.359999999</v>
      </c>
      <c r="T39" s="7"/>
      <c r="U39" s="2"/>
      <c r="V39" s="2"/>
      <c r="W39" s="2"/>
    </row>
    <row r="40" spans="1:23" s="5" customFormat="1" ht="18" customHeight="1" x14ac:dyDescent="0.2">
      <c r="A40" s="8">
        <v>33</v>
      </c>
      <c r="B40" s="48" t="s">
        <v>153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2"/>
    </row>
    <row r="41" spans="1:23" s="5" customFormat="1" ht="28.5" customHeight="1" x14ac:dyDescent="0.2">
      <c r="A41" s="13">
        <v>34</v>
      </c>
      <c r="B41" s="9" t="s">
        <v>16</v>
      </c>
      <c r="C41" s="17">
        <f>SUM(D41:S41)</f>
        <v>7661191179.96</v>
      </c>
      <c r="D41" s="17">
        <f t="shared" ref="D41:N45" si="31">D47</f>
        <v>264199959.09999999</v>
      </c>
      <c r="E41" s="17">
        <f t="shared" si="31"/>
        <v>274684926.08000004</v>
      </c>
      <c r="F41" s="17">
        <f>F47</f>
        <v>280630898.56000006</v>
      </c>
      <c r="G41" s="17">
        <f t="shared" si="31"/>
        <v>314963856.63999999</v>
      </c>
      <c r="H41" s="17">
        <f t="shared" si="31"/>
        <v>360159788.63999999</v>
      </c>
      <c r="I41" s="17">
        <f t="shared" si="31"/>
        <v>414949033.24000001</v>
      </c>
      <c r="J41" s="17">
        <f t="shared" si="31"/>
        <v>422938130.87</v>
      </c>
      <c r="K41" s="17">
        <f t="shared" si="31"/>
        <v>465441613.99999994</v>
      </c>
      <c r="L41" s="17">
        <f t="shared" si="31"/>
        <v>502853718.13</v>
      </c>
      <c r="M41" s="17">
        <f>M47</f>
        <v>605634308.48000002</v>
      </c>
      <c r="N41" s="17">
        <f t="shared" si="31"/>
        <v>641156727.66999996</v>
      </c>
      <c r="O41" s="17">
        <f t="shared" ref="O41:S41" si="32">O47</f>
        <v>668372063.88</v>
      </c>
      <c r="P41" s="17">
        <f t="shared" si="32"/>
        <v>661882662.42999995</v>
      </c>
      <c r="Q41" s="17">
        <f t="shared" si="32"/>
        <v>594441164.07999992</v>
      </c>
      <c r="R41" s="17">
        <f t="shared" si="32"/>
        <v>594441164.07999992</v>
      </c>
      <c r="S41" s="17">
        <f t="shared" si="32"/>
        <v>594441164.07999992</v>
      </c>
      <c r="T41" s="12"/>
      <c r="U41" s="2"/>
    </row>
    <row r="42" spans="1:23" s="5" customFormat="1" ht="14.25" x14ac:dyDescent="0.2">
      <c r="A42" s="13">
        <v>35</v>
      </c>
      <c r="B42" s="14" t="s">
        <v>8</v>
      </c>
      <c r="C42" s="16">
        <f>SUM(D42:S42)</f>
        <v>0</v>
      </c>
      <c r="D42" s="16">
        <f t="shared" si="31"/>
        <v>0</v>
      </c>
      <c r="E42" s="16">
        <f t="shared" si="31"/>
        <v>0</v>
      </c>
      <c r="F42" s="16">
        <f t="shared" si="31"/>
        <v>0</v>
      </c>
      <c r="G42" s="16">
        <f t="shared" si="31"/>
        <v>0</v>
      </c>
      <c r="H42" s="16">
        <f t="shared" si="31"/>
        <v>0</v>
      </c>
      <c r="I42" s="16">
        <f>I48</f>
        <v>0</v>
      </c>
      <c r="J42" s="16">
        <f t="shared" si="31"/>
        <v>0</v>
      </c>
      <c r="K42" s="16">
        <f t="shared" si="31"/>
        <v>0</v>
      </c>
      <c r="L42" s="16">
        <f t="shared" si="31"/>
        <v>0</v>
      </c>
      <c r="M42" s="16">
        <f>M48</f>
        <v>0</v>
      </c>
      <c r="N42" s="16">
        <f t="shared" si="31"/>
        <v>0</v>
      </c>
      <c r="O42" s="16">
        <f t="shared" ref="O42:S42" si="33">O48</f>
        <v>0</v>
      </c>
      <c r="P42" s="16">
        <f t="shared" si="33"/>
        <v>0</v>
      </c>
      <c r="Q42" s="16">
        <f t="shared" si="33"/>
        <v>0</v>
      </c>
      <c r="R42" s="16">
        <f t="shared" si="33"/>
        <v>0</v>
      </c>
      <c r="S42" s="16">
        <f t="shared" si="33"/>
        <v>0</v>
      </c>
      <c r="T42" s="12"/>
      <c r="U42" s="2"/>
    </row>
    <row r="43" spans="1:23" s="5" customFormat="1" ht="14.25" x14ac:dyDescent="0.2">
      <c r="A43" s="8">
        <v>36</v>
      </c>
      <c r="B43" s="14" t="s">
        <v>9</v>
      </c>
      <c r="C43" s="16">
        <f t="shared" ref="C43:C45" si="34">SUM(D43:S43)</f>
        <v>5781807914.4699993</v>
      </c>
      <c r="D43" s="16">
        <f t="shared" si="31"/>
        <v>179108000</v>
      </c>
      <c r="E43" s="16">
        <f t="shared" si="31"/>
        <v>215047005.37000003</v>
      </c>
      <c r="F43" s="16">
        <f>F49</f>
        <v>223134150.52000001</v>
      </c>
      <c r="G43" s="16">
        <f t="shared" si="31"/>
        <v>232725424.99999997</v>
      </c>
      <c r="H43" s="16">
        <f t="shared" si="31"/>
        <v>248069611.5</v>
      </c>
      <c r="I43" s="16">
        <f>I49</f>
        <v>271371721.80000001</v>
      </c>
      <c r="J43" s="16">
        <f t="shared" si="31"/>
        <v>299836821</v>
      </c>
      <c r="K43" s="16">
        <f>K49</f>
        <v>334220633.73999995</v>
      </c>
      <c r="L43" s="16">
        <f t="shared" si="31"/>
        <v>377701167.06999999</v>
      </c>
      <c r="M43" s="16">
        <f>M54+M65+M75+M70+M80+M85+M90+M95</f>
        <v>457728678.46999997</v>
      </c>
      <c r="N43" s="16">
        <f>N49</f>
        <v>491410200</v>
      </c>
      <c r="O43" s="16">
        <f>O49</f>
        <v>530771500</v>
      </c>
      <c r="P43" s="16">
        <f t="shared" ref="P43:S43" si="35">P49</f>
        <v>542756000</v>
      </c>
      <c r="Q43" s="16">
        <f t="shared" si="35"/>
        <v>459309000</v>
      </c>
      <c r="R43" s="16">
        <f t="shared" si="35"/>
        <v>459309000</v>
      </c>
      <c r="S43" s="16">
        <f t="shared" si="35"/>
        <v>459309000</v>
      </c>
      <c r="T43" s="12"/>
      <c r="U43" s="2"/>
    </row>
    <row r="44" spans="1:23" s="5" customFormat="1" ht="14.25" x14ac:dyDescent="0.2">
      <c r="A44" s="13">
        <v>37</v>
      </c>
      <c r="B44" s="14" t="s">
        <v>10</v>
      </c>
      <c r="C44" s="16">
        <f t="shared" si="34"/>
        <v>1383473169.8899999</v>
      </c>
      <c r="D44" s="16">
        <f t="shared" si="31"/>
        <v>84885245.819999993</v>
      </c>
      <c r="E44" s="16">
        <f t="shared" si="31"/>
        <v>58819163.110000007</v>
      </c>
      <c r="F44" s="16">
        <f t="shared" si="31"/>
        <v>56284340.690000005</v>
      </c>
      <c r="G44" s="16">
        <f t="shared" si="31"/>
        <v>59628845.400000006</v>
      </c>
      <c r="H44" s="16">
        <f t="shared" si="31"/>
        <v>73117142.120000005</v>
      </c>
      <c r="I44" s="16">
        <f t="shared" si="31"/>
        <v>119307567.86</v>
      </c>
      <c r="J44" s="16">
        <f t="shared" si="31"/>
        <v>93831501.469999999</v>
      </c>
      <c r="K44" s="16">
        <f t="shared" si="31"/>
        <v>92886686.429999992</v>
      </c>
      <c r="L44" s="16">
        <f t="shared" si="31"/>
        <v>86951636.329999998</v>
      </c>
      <c r="M44" s="16">
        <f>M55+M86+M91+M81+M76+M71+M66</f>
        <v>104760653.5</v>
      </c>
      <c r="N44" s="16">
        <f t="shared" si="31"/>
        <v>106601551.16</v>
      </c>
      <c r="O44" s="16">
        <f t="shared" ref="O44:S44" si="36">O50</f>
        <v>94455587.370000005</v>
      </c>
      <c r="P44" s="16">
        <f t="shared" si="36"/>
        <v>75981685.920000002</v>
      </c>
      <c r="Q44" s="16">
        <f t="shared" si="36"/>
        <v>91987187.569999993</v>
      </c>
      <c r="R44" s="16">
        <f t="shared" si="36"/>
        <v>91987187.569999993</v>
      </c>
      <c r="S44" s="16">
        <f t="shared" si="36"/>
        <v>91987187.569999993</v>
      </c>
      <c r="T44" s="12"/>
      <c r="U44" s="2"/>
    </row>
    <row r="45" spans="1:23" s="5" customFormat="1" ht="14.25" x14ac:dyDescent="0.2">
      <c r="A45" s="8">
        <v>38</v>
      </c>
      <c r="B45" s="14" t="s">
        <v>11</v>
      </c>
      <c r="C45" s="16">
        <f t="shared" si="34"/>
        <v>495910095.59999996</v>
      </c>
      <c r="D45" s="16">
        <f t="shared" si="31"/>
        <v>206713.28</v>
      </c>
      <c r="E45" s="16">
        <f t="shared" si="31"/>
        <v>818757.6</v>
      </c>
      <c r="F45" s="16">
        <f>F51</f>
        <v>1212407.3500000001</v>
      </c>
      <c r="G45" s="16">
        <f t="shared" si="31"/>
        <v>22609586.239999998</v>
      </c>
      <c r="H45" s="16">
        <f>H51</f>
        <v>38973035.020000003</v>
      </c>
      <c r="I45" s="16">
        <f t="shared" si="31"/>
        <v>24269743.579999998</v>
      </c>
      <c r="J45" s="16">
        <f t="shared" si="31"/>
        <v>29269808.399999999</v>
      </c>
      <c r="K45" s="16">
        <f t="shared" si="31"/>
        <v>38334293.829999998</v>
      </c>
      <c r="L45" s="16">
        <f t="shared" si="31"/>
        <v>38200914.730000004</v>
      </c>
      <c r="M45" s="16">
        <f>M51</f>
        <v>43144976.509999998</v>
      </c>
      <c r="N45" s="16">
        <f t="shared" si="31"/>
        <v>43144976.509999998</v>
      </c>
      <c r="O45" s="16">
        <f t="shared" ref="O45:S45" si="37">O51</f>
        <v>43144976.509999998</v>
      </c>
      <c r="P45" s="16">
        <f t="shared" si="37"/>
        <v>43144976.509999998</v>
      </c>
      <c r="Q45" s="16">
        <f t="shared" si="37"/>
        <v>43144976.509999998</v>
      </c>
      <c r="R45" s="16">
        <f t="shared" si="37"/>
        <v>43144976.509999998</v>
      </c>
      <c r="S45" s="16">
        <f t="shared" si="37"/>
        <v>43144976.509999998</v>
      </c>
      <c r="T45" s="12"/>
      <c r="U45" s="2"/>
    </row>
    <row r="46" spans="1:23" s="5" customFormat="1" ht="15" x14ac:dyDescent="0.2">
      <c r="A46" s="13">
        <v>39</v>
      </c>
      <c r="B46" s="45" t="s">
        <v>14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2"/>
    </row>
    <row r="47" spans="1:23" s="5" customFormat="1" ht="31.5" customHeight="1" x14ac:dyDescent="0.2">
      <c r="A47" s="8">
        <v>40</v>
      </c>
      <c r="B47" s="9" t="s">
        <v>17</v>
      </c>
      <c r="C47" s="17">
        <f>SUM(D47:S47)</f>
        <v>7661191179.96</v>
      </c>
      <c r="D47" s="17">
        <f t="shared" ref="D47:N47" si="38">D48+D49+D50+D51</f>
        <v>264199959.09999999</v>
      </c>
      <c r="E47" s="17">
        <f t="shared" si="38"/>
        <v>274684926.08000004</v>
      </c>
      <c r="F47" s="17">
        <f t="shared" si="38"/>
        <v>280630898.56000006</v>
      </c>
      <c r="G47" s="17">
        <f t="shared" si="38"/>
        <v>314963856.63999999</v>
      </c>
      <c r="H47" s="17">
        <f t="shared" si="38"/>
        <v>360159788.63999999</v>
      </c>
      <c r="I47" s="17">
        <f t="shared" si="38"/>
        <v>414949033.24000001</v>
      </c>
      <c r="J47" s="17">
        <f t="shared" si="38"/>
        <v>422938130.87</v>
      </c>
      <c r="K47" s="17">
        <f>K48+K49+K50+K51</f>
        <v>465441613.99999994</v>
      </c>
      <c r="L47" s="17">
        <f t="shared" si="38"/>
        <v>502853718.13</v>
      </c>
      <c r="M47" s="17">
        <f>M48+M49+M50+M51</f>
        <v>605634308.48000002</v>
      </c>
      <c r="N47" s="17">
        <f t="shared" si="38"/>
        <v>641156727.66999996</v>
      </c>
      <c r="O47" s="17">
        <f t="shared" ref="O47:S47" si="39">O48+O49+O50+O51</f>
        <v>668372063.88</v>
      </c>
      <c r="P47" s="17">
        <f t="shared" si="39"/>
        <v>661882662.42999995</v>
      </c>
      <c r="Q47" s="17">
        <f t="shared" si="39"/>
        <v>594441164.07999992</v>
      </c>
      <c r="R47" s="17">
        <f t="shared" si="39"/>
        <v>594441164.07999992</v>
      </c>
      <c r="S47" s="17">
        <f t="shared" si="39"/>
        <v>594441164.07999992</v>
      </c>
      <c r="T47" s="12"/>
      <c r="U47" s="2"/>
    </row>
    <row r="48" spans="1:23" s="5" customFormat="1" ht="14.25" x14ac:dyDescent="0.2">
      <c r="A48" s="8">
        <v>41</v>
      </c>
      <c r="B48" s="14" t="s">
        <v>8</v>
      </c>
      <c r="C48" s="16">
        <f t="shared" ref="C48:C56" si="40">SUM(D48:S48)</f>
        <v>0</v>
      </c>
      <c r="D48" s="16">
        <f t="shared" ref="D48:H50" si="41">D53+D64</f>
        <v>0</v>
      </c>
      <c r="E48" s="16">
        <f t="shared" si="41"/>
        <v>0</v>
      </c>
      <c r="F48" s="16">
        <f t="shared" si="41"/>
        <v>0</v>
      </c>
      <c r="G48" s="16">
        <f t="shared" si="41"/>
        <v>0</v>
      </c>
      <c r="H48" s="16">
        <f t="shared" si="41"/>
        <v>0</v>
      </c>
      <c r="I48" s="16">
        <f>I53+I64+I74+I79</f>
        <v>0</v>
      </c>
      <c r="J48" s="16">
        <f t="shared" ref="J48:S48" si="42">J53+J64+J79</f>
        <v>0</v>
      </c>
      <c r="K48" s="16">
        <f t="shared" si="42"/>
        <v>0</v>
      </c>
      <c r="L48" s="16">
        <f t="shared" si="42"/>
        <v>0</v>
      </c>
      <c r="M48" s="16">
        <f t="shared" si="42"/>
        <v>0</v>
      </c>
      <c r="N48" s="16">
        <f t="shared" si="42"/>
        <v>0</v>
      </c>
      <c r="O48" s="16">
        <f t="shared" si="42"/>
        <v>0</v>
      </c>
      <c r="P48" s="16">
        <f t="shared" si="42"/>
        <v>0</v>
      </c>
      <c r="Q48" s="16">
        <f t="shared" si="42"/>
        <v>0</v>
      </c>
      <c r="R48" s="16">
        <f t="shared" si="42"/>
        <v>0</v>
      </c>
      <c r="S48" s="16">
        <f t="shared" si="42"/>
        <v>0</v>
      </c>
      <c r="T48" s="12"/>
      <c r="U48" s="2"/>
    </row>
    <row r="49" spans="1:22" s="5" customFormat="1" ht="14.25" x14ac:dyDescent="0.2">
      <c r="A49" s="13">
        <v>42</v>
      </c>
      <c r="B49" s="14" t="s">
        <v>9</v>
      </c>
      <c r="C49" s="16">
        <f t="shared" si="40"/>
        <v>5781807914.4699993</v>
      </c>
      <c r="D49" s="16">
        <f t="shared" si="41"/>
        <v>179108000</v>
      </c>
      <c r="E49" s="16">
        <f t="shared" si="41"/>
        <v>215047005.37000003</v>
      </c>
      <c r="F49" s="16">
        <f t="shared" si="41"/>
        <v>223134150.52000001</v>
      </c>
      <c r="G49" s="16">
        <f t="shared" si="41"/>
        <v>232725424.99999997</v>
      </c>
      <c r="H49" s="16">
        <f t="shared" si="41"/>
        <v>248069611.5</v>
      </c>
      <c r="I49" s="16">
        <f>I54+I65+I75+I80</f>
        <v>271371721.80000001</v>
      </c>
      <c r="J49" s="16">
        <f>J54+J65+J75+J80+J85</f>
        <v>299836821</v>
      </c>
      <c r="K49" s="16">
        <f>K54+K65+K70+K75+K80+K85+K90</f>
        <v>334220633.73999995</v>
      </c>
      <c r="L49" s="16">
        <f>L54+L65+L70+L75+L80+L85+L90</f>
        <v>377701167.06999999</v>
      </c>
      <c r="M49" s="16">
        <f>M54+M65+M70+M75+M80+M85+M90+M95</f>
        <v>457728678.46999997</v>
      </c>
      <c r="N49" s="16">
        <f t="shared" ref="N49:S50" si="43">N54+N65+N70+N75+N80+N85</f>
        <v>491410200</v>
      </c>
      <c r="O49" s="16">
        <f t="shared" si="43"/>
        <v>530771500</v>
      </c>
      <c r="P49" s="16">
        <f t="shared" si="43"/>
        <v>542756000</v>
      </c>
      <c r="Q49" s="16">
        <f t="shared" si="43"/>
        <v>459309000</v>
      </c>
      <c r="R49" s="16">
        <f t="shared" si="43"/>
        <v>459309000</v>
      </c>
      <c r="S49" s="16">
        <f t="shared" si="43"/>
        <v>459309000</v>
      </c>
      <c r="T49" s="12"/>
      <c r="U49" s="2"/>
    </row>
    <row r="50" spans="1:22" s="5" customFormat="1" ht="14.25" x14ac:dyDescent="0.2">
      <c r="A50" s="13">
        <v>43</v>
      </c>
      <c r="B50" s="14" t="s">
        <v>10</v>
      </c>
      <c r="C50" s="16">
        <f t="shared" si="40"/>
        <v>1383473169.8899999</v>
      </c>
      <c r="D50" s="16">
        <f t="shared" si="41"/>
        <v>84885245.819999993</v>
      </c>
      <c r="E50" s="16">
        <f t="shared" si="41"/>
        <v>58819163.110000007</v>
      </c>
      <c r="F50" s="16">
        <f t="shared" si="41"/>
        <v>56284340.690000005</v>
      </c>
      <c r="G50" s="16">
        <f t="shared" si="41"/>
        <v>59628845.400000006</v>
      </c>
      <c r="H50" s="16">
        <f t="shared" si="41"/>
        <v>73117142.120000005</v>
      </c>
      <c r="I50" s="16">
        <f>I55+I66</f>
        <v>119307567.86</v>
      </c>
      <c r="J50" s="16">
        <f>J55+J66+J76+J81+J86</f>
        <v>93831501.469999999</v>
      </c>
      <c r="K50" s="16">
        <f>K55+K66+K71+K76+K81+K86</f>
        <v>92886686.429999992</v>
      </c>
      <c r="L50" s="16">
        <f>L55+L66+L71+L76+L81+L86</f>
        <v>86951636.329999998</v>
      </c>
      <c r="M50" s="16">
        <f>M55+M66+M71+M76+M81+M86</f>
        <v>104760653.5</v>
      </c>
      <c r="N50" s="16">
        <f t="shared" si="43"/>
        <v>106601551.16</v>
      </c>
      <c r="O50" s="16">
        <f t="shared" si="43"/>
        <v>94455587.370000005</v>
      </c>
      <c r="P50" s="16">
        <f t="shared" si="43"/>
        <v>75981685.920000002</v>
      </c>
      <c r="Q50" s="16">
        <f t="shared" si="43"/>
        <v>91987187.569999993</v>
      </c>
      <c r="R50" s="16">
        <f t="shared" si="43"/>
        <v>91987187.569999993</v>
      </c>
      <c r="S50" s="16">
        <f t="shared" si="43"/>
        <v>91987187.569999993</v>
      </c>
      <c r="T50" s="12"/>
      <c r="U50" s="2"/>
    </row>
    <row r="51" spans="1:22" s="5" customFormat="1" ht="14.25" x14ac:dyDescent="0.2">
      <c r="A51" s="8">
        <v>44</v>
      </c>
      <c r="B51" s="14" t="s">
        <v>11</v>
      </c>
      <c r="C51" s="16">
        <f t="shared" si="40"/>
        <v>495910095.59999996</v>
      </c>
      <c r="D51" s="16">
        <f>D56+D67</f>
        <v>206713.28</v>
      </c>
      <c r="E51" s="16">
        <f>E56+E67</f>
        <v>818757.6</v>
      </c>
      <c r="F51" s="16">
        <f>F56</f>
        <v>1212407.3500000001</v>
      </c>
      <c r="G51" s="16">
        <f>G56+G67</f>
        <v>22609586.239999998</v>
      </c>
      <c r="H51" s="16">
        <f>H56+H67</f>
        <v>38973035.020000003</v>
      </c>
      <c r="I51" s="16">
        <f>I56+I67</f>
        <v>24269743.579999998</v>
      </c>
      <c r="J51" s="16">
        <f>J56+J67+J77+J82+J87</f>
        <v>29269808.399999999</v>
      </c>
      <c r="K51" s="16">
        <f t="shared" ref="K51:S51" si="44">K56+K67+K77+K82+K87</f>
        <v>38334293.829999998</v>
      </c>
      <c r="L51" s="16">
        <f t="shared" si="44"/>
        <v>38200914.730000004</v>
      </c>
      <c r="M51" s="16">
        <f t="shared" si="44"/>
        <v>43144976.509999998</v>
      </c>
      <c r="N51" s="16">
        <f t="shared" si="44"/>
        <v>43144976.509999998</v>
      </c>
      <c r="O51" s="16">
        <f t="shared" si="44"/>
        <v>43144976.509999998</v>
      </c>
      <c r="P51" s="16">
        <f t="shared" si="44"/>
        <v>43144976.509999998</v>
      </c>
      <c r="Q51" s="16">
        <f t="shared" si="44"/>
        <v>43144976.509999998</v>
      </c>
      <c r="R51" s="16">
        <f t="shared" si="44"/>
        <v>43144976.509999998</v>
      </c>
      <c r="S51" s="16">
        <f t="shared" si="44"/>
        <v>43144976.509999998</v>
      </c>
      <c r="T51" s="12"/>
      <c r="U51" s="2"/>
    </row>
    <row r="52" spans="1:22" s="5" customFormat="1" ht="157.5" customHeight="1" x14ac:dyDescent="0.2">
      <c r="A52" s="13">
        <v>45</v>
      </c>
      <c r="B52" s="18" t="s">
        <v>18</v>
      </c>
      <c r="C52" s="17">
        <f t="shared" si="40"/>
        <v>6398424728.920002</v>
      </c>
      <c r="D52" s="17">
        <f t="shared" ref="D52:I52" si="45">D53+D54+D55+D56</f>
        <v>237523959.09999999</v>
      </c>
      <c r="E52" s="17">
        <f t="shared" si="45"/>
        <v>246552926.08000004</v>
      </c>
      <c r="F52" s="17">
        <f t="shared" si="45"/>
        <v>247803898.56</v>
      </c>
      <c r="G52" s="17">
        <f t="shared" si="45"/>
        <v>273854856.63999999</v>
      </c>
      <c r="H52" s="17">
        <f t="shared" si="45"/>
        <v>292830580.73000002</v>
      </c>
      <c r="I52" s="17">
        <f t="shared" si="45"/>
        <v>355078202.41000003</v>
      </c>
      <c r="J52" s="17">
        <f t="shared" ref="J52:O52" si="46">J53+J54+J55+J56</f>
        <v>348288368.85000002</v>
      </c>
      <c r="K52" s="17">
        <f t="shared" si="46"/>
        <v>363836598.86000001</v>
      </c>
      <c r="L52" s="17">
        <f t="shared" si="46"/>
        <v>397643439.50999999</v>
      </c>
      <c r="M52" s="17">
        <f t="shared" si="46"/>
        <v>480740929.07999998</v>
      </c>
      <c r="N52" s="17">
        <f t="shared" si="46"/>
        <v>533175398.14999998</v>
      </c>
      <c r="O52" s="17">
        <f t="shared" si="46"/>
        <v>562146234.36000001</v>
      </c>
      <c r="P52" s="17">
        <f t="shared" ref="P52:S52" si="47">P53+P54+P55+P56</f>
        <v>577227332.90999997</v>
      </c>
      <c r="Q52" s="17">
        <f t="shared" si="47"/>
        <v>493907334.56</v>
      </c>
      <c r="R52" s="17">
        <f t="shared" si="47"/>
        <v>493907334.56</v>
      </c>
      <c r="S52" s="17">
        <f t="shared" si="47"/>
        <v>493907334.56</v>
      </c>
      <c r="T52" s="8" t="s">
        <v>93</v>
      </c>
      <c r="U52" s="2"/>
    </row>
    <row r="53" spans="1:22" s="5" customFormat="1" ht="14.25" x14ac:dyDescent="0.2">
      <c r="A53" s="8">
        <v>46</v>
      </c>
      <c r="B53" s="14" t="s">
        <v>8</v>
      </c>
      <c r="C53" s="16">
        <f t="shared" si="40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8"/>
      <c r="U53" s="2"/>
    </row>
    <row r="54" spans="1:22" s="5" customFormat="1" ht="14.25" x14ac:dyDescent="0.2">
      <c r="A54" s="13">
        <v>47</v>
      </c>
      <c r="B54" s="14" t="s">
        <v>9</v>
      </c>
      <c r="C54" s="16">
        <f t="shared" si="40"/>
        <v>4822663495.3899994</v>
      </c>
      <c r="D54" s="16">
        <v>152432000</v>
      </c>
      <c r="E54" s="20">
        <f>186276000+490702.3+148192.11-23375-56700.98-17123.7+74739.35+22571.29</f>
        <v>186915005.37000003</v>
      </c>
      <c r="F54" s="16">
        <f>179276985.57+9215735+11902.87+1321812.6+399187.4+75415.52-443597.89+449709.45</f>
        <v>190307150.52000001</v>
      </c>
      <c r="G54" s="16">
        <f>188463526.38+9645293.92+230660+69887.82-6500000-260000-32943.12</f>
        <v>191616424.99999997</v>
      </c>
      <c r="H54" s="16">
        <f>201629211.5+1026000+8907400+1405000</f>
        <v>212967611.5</v>
      </c>
      <c r="I54" s="16">
        <f>232069227.8-1000000-422078</f>
        <v>230647149.80000001</v>
      </c>
      <c r="J54" s="16">
        <f>244769948.5-8999290.5+7412163+196800</f>
        <v>243379621</v>
      </c>
      <c r="K54" s="16">
        <v>263756736.53999999</v>
      </c>
      <c r="L54" s="16">
        <v>300586667.06999999</v>
      </c>
      <c r="M54" s="16">
        <v>360970628.58999997</v>
      </c>
      <c r="N54" s="16">
        <v>409436000</v>
      </c>
      <c r="O54" s="16">
        <v>448681000</v>
      </c>
      <c r="P54" s="16">
        <v>482236000</v>
      </c>
      <c r="Q54" s="16">
        <v>382910500</v>
      </c>
      <c r="R54" s="16">
        <v>382910500</v>
      </c>
      <c r="S54" s="16">
        <v>382910500</v>
      </c>
      <c r="T54" s="8"/>
      <c r="U54" s="22"/>
      <c r="V54" s="2"/>
    </row>
    <row r="55" spans="1:22" s="5" customFormat="1" ht="14.25" x14ac:dyDescent="0.2">
      <c r="A55" s="8">
        <v>48</v>
      </c>
      <c r="B55" s="14" t="s">
        <v>10</v>
      </c>
      <c r="C55" s="16">
        <f t="shared" si="40"/>
        <v>1362830306.5699997</v>
      </c>
      <c r="D55" s="16">
        <v>84885245.819999993</v>
      </c>
      <c r="E55" s="20">
        <f>58819163.11-9595.8-6286.9+15882.7</f>
        <v>58819163.110000007</v>
      </c>
      <c r="F55" s="16">
        <f>51287291.77+9.27+157899.63+1051+2820.82+2490581.79+100000+60000+19957.33+21651.12+12293.57+16040.48+833071.31+1281672.6</f>
        <v>56284340.690000005</v>
      </c>
      <c r="G55" s="16">
        <f>51419407.77+370401.3+67569.82-37074.18+1284049.46+6424491.23+20000+80000</f>
        <v>59628845.400000006</v>
      </c>
      <c r="H55" s="16">
        <f>99324800+988788.51-1022931.13+26106+15000+30392.8+2997372.16-29320656.22+78270</f>
        <v>73117142.120000005</v>
      </c>
      <c r="I55" s="16">
        <f>103598867.06+681350.47+11081826.98+3945523.35</f>
        <v>119307567.86</v>
      </c>
      <c r="J55" s="16">
        <f>60049279.43+27086502.64+4524828.92+263400-413035.82</f>
        <v>91510975.170000002</v>
      </c>
      <c r="K55" s="16">
        <v>83436149.409999996</v>
      </c>
      <c r="L55" s="16">
        <v>83951636.329999998</v>
      </c>
      <c r="M55" s="16">
        <v>100760653.5</v>
      </c>
      <c r="N55" s="16">
        <v>104729751.16</v>
      </c>
      <c r="O55" s="16">
        <v>94455587.370000005</v>
      </c>
      <c r="P55" s="16">
        <v>75981685.920000002</v>
      </c>
      <c r="Q55" s="16">
        <v>91987187.569999993</v>
      </c>
      <c r="R55" s="16">
        <v>91987187.569999993</v>
      </c>
      <c r="S55" s="16">
        <v>91987187.569999993</v>
      </c>
      <c r="T55" s="8"/>
      <c r="U55" s="22"/>
    </row>
    <row r="56" spans="1:22" s="5" customFormat="1" ht="19.5" customHeight="1" x14ac:dyDescent="0.2">
      <c r="A56" s="8">
        <v>49</v>
      </c>
      <c r="B56" s="14" t="s">
        <v>11</v>
      </c>
      <c r="C56" s="16">
        <f t="shared" si="40"/>
        <v>212930926.96000004</v>
      </c>
      <c r="D56" s="16">
        <v>206713.28</v>
      </c>
      <c r="E56" s="20">
        <v>818757.6</v>
      </c>
      <c r="F56" s="16">
        <v>1212407.3500000001</v>
      </c>
      <c r="G56" s="16">
        <v>22609586.239999998</v>
      </c>
      <c r="H56" s="16">
        <v>6745827.1100000003</v>
      </c>
      <c r="I56" s="16">
        <f>5092985.52+30499.23</f>
        <v>5123484.75</v>
      </c>
      <c r="J56" s="16">
        <f>2587087.1+3998252.88+21628248.97+3695787.85-19315975.32-1701447.31+2505818.51</f>
        <v>13397772.68</v>
      </c>
      <c r="K56" s="16">
        <v>16643712.91</v>
      </c>
      <c r="L56" s="16">
        <v>13105136.109999999</v>
      </c>
      <c r="M56" s="16">
        <v>19009646.989999998</v>
      </c>
      <c r="N56" s="16">
        <v>19009646.989999998</v>
      </c>
      <c r="O56" s="16">
        <v>19009646.989999998</v>
      </c>
      <c r="P56" s="16">
        <v>19009646.989999998</v>
      </c>
      <c r="Q56" s="16">
        <v>19009646.989999998</v>
      </c>
      <c r="R56" s="16">
        <v>19009646.989999998</v>
      </c>
      <c r="S56" s="16">
        <v>19009646.989999998</v>
      </c>
      <c r="T56" s="7"/>
      <c r="U56" s="2"/>
    </row>
    <row r="57" spans="1:22" s="42" customFormat="1" ht="14.25" x14ac:dyDescent="0.2">
      <c r="A57" s="8">
        <v>1</v>
      </c>
      <c r="B57" s="8">
        <v>2</v>
      </c>
      <c r="C57" s="8">
        <v>3</v>
      </c>
      <c r="D57" s="8">
        <v>4</v>
      </c>
      <c r="E57" s="8">
        <v>5</v>
      </c>
      <c r="F57" s="8">
        <v>6</v>
      </c>
      <c r="G57" s="8">
        <v>7</v>
      </c>
      <c r="H57" s="8">
        <v>8</v>
      </c>
      <c r="I57" s="8">
        <v>9</v>
      </c>
      <c r="J57" s="8">
        <v>10</v>
      </c>
      <c r="K57" s="8">
        <v>11</v>
      </c>
      <c r="L57" s="8">
        <v>12</v>
      </c>
      <c r="M57" s="8">
        <v>13</v>
      </c>
      <c r="N57" s="8">
        <v>14</v>
      </c>
      <c r="O57" s="8">
        <v>15</v>
      </c>
      <c r="P57" s="8">
        <v>16</v>
      </c>
      <c r="Q57" s="8">
        <v>17</v>
      </c>
      <c r="R57" s="8">
        <v>18</v>
      </c>
      <c r="S57" s="8">
        <v>19</v>
      </c>
      <c r="T57" s="8">
        <v>20</v>
      </c>
      <c r="U57" s="2"/>
    </row>
    <row r="58" spans="1:22" s="5" customFormat="1" ht="142.5" x14ac:dyDescent="0.2">
      <c r="A58" s="13">
        <v>50</v>
      </c>
      <c r="B58" s="18" t="s">
        <v>48</v>
      </c>
      <c r="C58" s="17">
        <f>SUM(D58:O58)</f>
        <v>75415.520000000004</v>
      </c>
      <c r="D58" s="16">
        <v>0</v>
      </c>
      <c r="E58" s="20">
        <v>0</v>
      </c>
      <c r="F58" s="16">
        <f>F59+F60+F61+F62</f>
        <v>75415.520000000004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8" t="s">
        <v>50</v>
      </c>
      <c r="U58" s="2"/>
    </row>
    <row r="59" spans="1:22" s="5" customFormat="1" ht="14.25" x14ac:dyDescent="0.2">
      <c r="A59" s="13">
        <v>51</v>
      </c>
      <c r="B59" s="14" t="s">
        <v>8</v>
      </c>
      <c r="C59" s="16">
        <f>SUM(D59:O59)</f>
        <v>0</v>
      </c>
      <c r="D59" s="16">
        <v>0</v>
      </c>
      <c r="E59" s="20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8"/>
      <c r="U59" s="2"/>
    </row>
    <row r="60" spans="1:22" s="5" customFormat="1" ht="14.25" x14ac:dyDescent="0.2">
      <c r="A60" s="8">
        <v>52</v>
      </c>
      <c r="B60" s="14" t="s">
        <v>9</v>
      </c>
      <c r="C60" s="16">
        <f t="shared" ref="C60:C62" si="48">SUM(D60:O60)</f>
        <v>71644.740000000005</v>
      </c>
      <c r="D60" s="16">
        <v>0</v>
      </c>
      <c r="E60" s="20">
        <v>0</v>
      </c>
      <c r="F60" s="16">
        <v>71644.740000000005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8"/>
      <c r="U60" s="2"/>
    </row>
    <row r="61" spans="1:22" s="5" customFormat="1" ht="14.25" x14ac:dyDescent="0.2">
      <c r="A61" s="13">
        <v>53</v>
      </c>
      <c r="B61" s="14" t="s">
        <v>10</v>
      </c>
      <c r="C61" s="16">
        <f t="shared" si="48"/>
        <v>3770.78</v>
      </c>
      <c r="D61" s="16">
        <v>0</v>
      </c>
      <c r="E61" s="20">
        <v>0</v>
      </c>
      <c r="F61" s="16">
        <v>3770.78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8"/>
      <c r="U61" s="2"/>
    </row>
    <row r="62" spans="1:22" s="5" customFormat="1" ht="14.25" x14ac:dyDescent="0.2">
      <c r="A62" s="8">
        <v>54</v>
      </c>
      <c r="B62" s="14" t="s">
        <v>11</v>
      </c>
      <c r="C62" s="16">
        <f t="shared" si="48"/>
        <v>0</v>
      </c>
      <c r="D62" s="16">
        <v>0</v>
      </c>
      <c r="E62" s="20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8"/>
      <c r="U62" s="2"/>
    </row>
    <row r="63" spans="1:22" s="5" customFormat="1" ht="81.75" customHeight="1" x14ac:dyDescent="0.2">
      <c r="A63" s="13">
        <v>55</v>
      </c>
      <c r="B63" s="18" t="s">
        <v>19</v>
      </c>
      <c r="C63" s="17">
        <f>SUM(D63:S63)</f>
        <v>920022229.63999999</v>
      </c>
      <c r="D63" s="17">
        <f t="shared" ref="D63:I63" si="49">D64+D65+D66+D67</f>
        <v>26676000</v>
      </c>
      <c r="E63" s="17">
        <f t="shared" si="49"/>
        <v>28132000</v>
      </c>
      <c r="F63" s="17">
        <f t="shared" si="49"/>
        <v>32827000</v>
      </c>
      <c r="G63" s="17">
        <f t="shared" si="49"/>
        <v>41109000</v>
      </c>
      <c r="H63" s="17">
        <f t="shared" si="49"/>
        <v>67329207.909999996</v>
      </c>
      <c r="I63" s="17">
        <f t="shared" si="49"/>
        <v>47792319.829999998</v>
      </c>
      <c r="J63" s="17">
        <f t="shared" ref="J63:O63" si="50">J64+J65+J66+J67</f>
        <v>31884035.719999999</v>
      </c>
      <c r="K63" s="17">
        <f t="shared" si="50"/>
        <v>48809580.920000002</v>
      </c>
      <c r="L63" s="17">
        <f t="shared" si="50"/>
        <v>57095778.620000005</v>
      </c>
      <c r="M63" s="17">
        <f t="shared" si="50"/>
        <v>61389329.519999996</v>
      </c>
      <c r="N63" s="17">
        <f t="shared" si="50"/>
        <v>80089329.519999996</v>
      </c>
      <c r="O63" s="17">
        <f t="shared" si="50"/>
        <v>82327329.519999996</v>
      </c>
      <c r="P63" s="17">
        <f t="shared" ref="P63:S63" si="51">P64+P65+P66+P67</f>
        <v>84655329.519999996</v>
      </c>
      <c r="Q63" s="17">
        <f t="shared" si="51"/>
        <v>76635329.519999996</v>
      </c>
      <c r="R63" s="17">
        <f t="shared" si="51"/>
        <v>76635329.519999996</v>
      </c>
      <c r="S63" s="17">
        <f t="shared" si="51"/>
        <v>76635329.519999996</v>
      </c>
      <c r="T63" s="8" t="s">
        <v>60</v>
      </c>
      <c r="U63" s="2"/>
    </row>
    <row r="64" spans="1:22" s="5" customFormat="1" ht="14.25" x14ac:dyDescent="0.2">
      <c r="A64" s="8">
        <v>56</v>
      </c>
      <c r="B64" s="14" t="s">
        <v>8</v>
      </c>
      <c r="C64" s="16">
        <f>SUM(D64:S64)</f>
        <v>0</v>
      </c>
      <c r="D64" s="16">
        <v>0</v>
      </c>
      <c r="E64" s="16"/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8"/>
      <c r="U64" s="2"/>
    </row>
    <row r="65" spans="1:23" s="5" customFormat="1" ht="14.25" x14ac:dyDescent="0.2">
      <c r="A65" s="8">
        <v>57</v>
      </c>
      <c r="B65" s="14" t="s">
        <v>9</v>
      </c>
      <c r="C65" s="16">
        <f t="shared" ref="C65:C67" si="52">SUM(D65:S65)</f>
        <v>637043061</v>
      </c>
      <c r="D65" s="16">
        <v>26676000</v>
      </c>
      <c r="E65" s="16">
        <v>28132000</v>
      </c>
      <c r="F65" s="16">
        <f>26884000+5943000</f>
        <v>32827000</v>
      </c>
      <c r="G65" s="16">
        <f>27114660-230660+17659000+3434000-6868000</f>
        <v>41109000</v>
      </c>
      <c r="H65" s="16">
        <v>35102000</v>
      </c>
      <c r="I65" s="16">
        <f>39838000-2158000-6074000-2959939</f>
        <v>28646061</v>
      </c>
      <c r="J65" s="16">
        <f>41433000-21421000-4000000</f>
        <v>16012000</v>
      </c>
      <c r="K65" s="16">
        <v>27119000</v>
      </c>
      <c r="L65" s="16">
        <v>32000000</v>
      </c>
      <c r="M65" s="16">
        <v>37254000</v>
      </c>
      <c r="N65" s="16">
        <v>55954000</v>
      </c>
      <c r="O65" s="16">
        <v>58192000</v>
      </c>
      <c r="P65" s="16">
        <v>60520000</v>
      </c>
      <c r="Q65" s="16">
        <v>52500000</v>
      </c>
      <c r="R65" s="16">
        <v>52500000</v>
      </c>
      <c r="S65" s="16">
        <v>52500000</v>
      </c>
      <c r="T65" s="8"/>
      <c r="U65" s="23"/>
      <c r="V65" s="2"/>
    </row>
    <row r="66" spans="1:23" s="5" customFormat="1" ht="14.25" x14ac:dyDescent="0.2">
      <c r="A66" s="13">
        <v>58</v>
      </c>
      <c r="B66" s="14" t="s">
        <v>10</v>
      </c>
      <c r="C66" s="16">
        <f t="shared" si="52"/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8"/>
      <c r="U66" s="2"/>
    </row>
    <row r="67" spans="1:23" s="5" customFormat="1" ht="14.25" x14ac:dyDescent="0.2">
      <c r="A67" s="13">
        <v>59</v>
      </c>
      <c r="B67" s="14" t="s">
        <v>11</v>
      </c>
      <c r="C67" s="16">
        <f t="shared" si="52"/>
        <v>282979168.64000005</v>
      </c>
      <c r="D67" s="16">
        <v>0</v>
      </c>
      <c r="E67" s="16">
        <v>0</v>
      </c>
      <c r="F67" s="16">
        <v>0</v>
      </c>
      <c r="G67" s="16">
        <v>0</v>
      </c>
      <c r="H67" s="16">
        <v>32227207.91</v>
      </c>
      <c r="I67" s="16">
        <v>19146258.829999998</v>
      </c>
      <c r="J67" s="16">
        <f>18288469.4-2482308.08+2016016.91-1950142.51</f>
        <v>15872035.719999997</v>
      </c>
      <c r="K67" s="16">
        <v>21690580.920000002</v>
      </c>
      <c r="L67" s="16">
        <v>25095778.620000001</v>
      </c>
      <c r="M67" s="16">
        <v>24135329.52</v>
      </c>
      <c r="N67" s="16">
        <v>24135329.52</v>
      </c>
      <c r="O67" s="16">
        <v>24135329.52</v>
      </c>
      <c r="P67" s="16">
        <v>24135329.52</v>
      </c>
      <c r="Q67" s="16">
        <v>24135329.52</v>
      </c>
      <c r="R67" s="16">
        <v>24135329.52</v>
      </c>
      <c r="S67" s="16">
        <v>24135329.52</v>
      </c>
      <c r="T67" s="7"/>
      <c r="U67" s="2"/>
    </row>
    <row r="68" spans="1:23" s="5" customFormat="1" ht="85.5" x14ac:dyDescent="0.2">
      <c r="A68" s="13">
        <v>60</v>
      </c>
      <c r="B68" s="18" t="s">
        <v>86</v>
      </c>
      <c r="C68" s="17">
        <f>SUM(D68:S68)</f>
        <v>6648600</v>
      </c>
      <c r="D68" s="17">
        <f t="shared" ref="D68:J68" si="53">SUM(D69:D72)</f>
        <v>0</v>
      </c>
      <c r="E68" s="17">
        <f t="shared" si="53"/>
        <v>0</v>
      </c>
      <c r="F68" s="17">
        <f t="shared" si="53"/>
        <v>0</v>
      </c>
      <c r="G68" s="17">
        <f t="shared" si="53"/>
        <v>0</v>
      </c>
      <c r="H68" s="17">
        <f t="shared" si="53"/>
        <v>0</v>
      </c>
      <c r="I68" s="17">
        <f t="shared" si="53"/>
        <v>0</v>
      </c>
      <c r="J68" s="17">
        <f t="shared" si="53"/>
        <v>0</v>
      </c>
      <c r="K68" s="16">
        <f>K69+K70+K71+K72</f>
        <v>2905000</v>
      </c>
      <c r="L68" s="16">
        <f>L69+L70+L71+L72</f>
        <v>0</v>
      </c>
      <c r="M68" s="17">
        <f>M69+M70+M71+M72</f>
        <v>0</v>
      </c>
      <c r="N68" s="17">
        <f>N69+N70+N71+N72</f>
        <v>3743600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8" t="s">
        <v>60</v>
      </c>
      <c r="U68" s="2"/>
    </row>
    <row r="69" spans="1:23" s="5" customFormat="1" ht="14.25" x14ac:dyDescent="0.2">
      <c r="A69" s="13">
        <v>61</v>
      </c>
      <c r="B69" s="14" t="s">
        <v>8</v>
      </c>
      <c r="C69" s="16">
        <f>SUM(D69:S69)</f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8"/>
      <c r="U69" s="2"/>
    </row>
    <row r="70" spans="1:23" s="5" customFormat="1" ht="14.25" x14ac:dyDescent="0.2">
      <c r="A70" s="13">
        <v>62</v>
      </c>
      <c r="B70" s="14" t="s">
        <v>9</v>
      </c>
      <c r="C70" s="16">
        <f t="shared" ref="C70:C72" si="54">SUM(D70:S70)</f>
        <v>3324300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1452500</v>
      </c>
      <c r="L70" s="16">
        <v>0</v>
      </c>
      <c r="M70" s="16">
        <v>0</v>
      </c>
      <c r="N70" s="16">
        <v>1871800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8"/>
      <c r="U70" s="2"/>
    </row>
    <row r="71" spans="1:23" s="5" customFormat="1" ht="14.25" x14ac:dyDescent="0.2">
      <c r="A71" s="13">
        <v>63</v>
      </c>
      <c r="B71" s="14" t="s">
        <v>10</v>
      </c>
      <c r="C71" s="16">
        <f t="shared" si="54"/>
        <v>3324300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f>1452415.72+84.28</f>
        <v>1452500</v>
      </c>
      <c r="L71" s="16">
        <v>0</v>
      </c>
      <c r="M71" s="16">
        <v>0</v>
      </c>
      <c r="N71" s="16">
        <v>1871800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8"/>
      <c r="U71" s="2"/>
    </row>
    <row r="72" spans="1:23" s="5" customFormat="1" ht="14.25" x14ac:dyDescent="0.2">
      <c r="A72" s="13">
        <v>64</v>
      </c>
      <c r="B72" s="14" t="s">
        <v>11</v>
      </c>
      <c r="C72" s="16">
        <f t="shared" si="54"/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8"/>
      <c r="U72" s="2"/>
    </row>
    <row r="73" spans="1:23" s="5" customFormat="1" ht="94.5" customHeight="1" x14ac:dyDescent="0.2">
      <c r="A73" s="13">
        <v>65</v>
      </c>
      <c r="B73" s="18" t="s">
        <v>83</v>
      </c>
      <c r="C73" s="17">
        <f>SUM(D73:S73)</f>
        <v>218598711</v>
      </c>
      <c r="D73" s="17">
        <f t="shared" ref="D73:O73" si="55">SUM(D74:D77)</f>
        <v>0</v>
      </c>
      <c r="E73" s="17">
        <f t="shared" si="55"/>
        <v>0</v>
      </c>
      <c r="F73" s="17">
        <f t="shared" si="55"/>
        <v>0</v>
      </c>
      <c r="G73" s="17">
        <f t="shared" si="55"/>
        <v>0</v>
      </c>
      <c r="H73" s="17">
        <f t="shared" si="55"/>
        <v>0</v>
      </c>
      <c r="I73" s="17">
        <f t="shared" si="55"/>
        <v>5969511</v>
      </c>
      <c r="J73" s="17">
        <f t="shared" si="55"/>
        <v>22058400</v>
      </c>
      <c r="K73" s="17">
        <f t="shared" si="55"/>
        <v>22595800</v>
      </c>
      <c r="L73" s="17">
        <f t="shared" si="55"/>
        <v>24293600</v>
      </c>
      <c r="M73" s="17">
        <f>SUM(M74:M77)</f>
        <v>23939000</v>
      </c>
      <c r="N73" s="17">
        <f t="shared" si="55"/>
        <v>24148400</v>
      </c>
      <c r="O73" s="17">
        <f t="shared" si="55"/>
        <v>23898500</v>
      </c>
      <c r="P73" s="17">
        <f t="shared" ref="P73:S73" si="56">SUM(P74:P77)</f>
        <v>0</v>
      </c>
      <c r="Q73" s="17">
        <f t="shared" si="56"/>
        <v>23898500</v>
      </c>
      <c r="R73" s="17">
        <f t="shared" si="56"/>
        <v>23898500</v>
      </c>
      <c r="S73" s="17">
        <f t="shared" si="56"/>
        <v>23898500</v>
      </c>
      <c r="T73" s="8" t="s">
        <v>60</v>
      </c>
      <c r="U73" s="2"/>
    </row>
    <row r="74" spans="1:23" s="5" customFormat="1" ht="14.25" x14ac:dyDescent="0.2">
      <c r="A74" s="13">
        <v>66</v>
      </c>
      <c r="B74" s="14" t="s">
        <v>8</v>
      </c>
      <c r="C74" s="16">
        <f>SUM(D74:S74)</f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8"/>
      <c r="U74" s="2"/>
    </row>
    <row r="75" spans="1:23" s="5" customFormat="1" ht="14.25" x14ac:dyDescent="0.2">
      <c r="A75" s="13">
        <v>67</v>
      </c>
      <c r="B75" s="14" t="s">
        <v>9</v>
      </c>
      <c r="C75" s="16">
        <f t="shared" ref="C75:C76" si="57">SUM(D75:S75)</f>
        <v>218598711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f>8969511-3000000</f>
        <v>5969511</v>
      </c>
      <c r="J75" s="16">
        <v>22058400</v>
      </c>
      <c r="K75" s="16">
        <v>22595800</v>
      </c>
      <c r="L75" s="16">
        <f>23387400+906200</f>
        <v>24293600</v>
      </c>
      <c r="M75" s="16">
        <v>23939000</v>
      </c>
      <c r="N75" s="16">
        <v>24148400</v>
      </c>
      <c r="O75" s="16">
        <v>23898500</v>
      </c>
      <c r="P75" s="16">
        <v>0</v>
      </c>
      <c r="Q75" s="16">
        <v>23898500</v>
      </c>
      <c r="R75" s="16">
        <v>23898500</v>
      </c>
      <c r="S75" s="16">
        <v>23898500</v>
      </c>
      <c r="T75" s="8"/>
      <c r="U75" s="2"/>
      <c r="V75" s="2"/>
      <c r="W75" s="2"/>
    </row>
    <row r="76" spans="1:23" s="5" customFormat="1" ht="14.25" x14ac:dyDescent="0.2">
      <c r="A76" s="13">
        <v>68</v>
      </c>
      <c r="B76" s="14" t="s">
        <v>10</v>
      </c>
      <c r="C76" s="16">
        <f t="shared" si="57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8"/>
      <c r="U76" s="2"/>
    </row>
    <row r="77" spans="1:23" s="5" customFormat="1" ht="14.25" x14ac:dyDescent="0.2">
      <c r="A77" s="13">
        <v>69</v>
      </c>
      <c r="B77" s="14" t="s">
        <v>11</v>
      </c>
      <c r="C77" s="16">
        <f t="shared" ref="C77" si="58">SUM(D77:O77)</f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8"/>
      <c r="U77" s="2"/>
    </row>
    <row r="78" spans="1:23" s="5" customFormat="1" ht="107.25" customHeight="1" x14ac:dyDescent="0.2">
      <c r="A78" s="13">
        <v>70</v>
      </c>
      <c r="B78" s="18" t="s">
        <v>84</v>
      </c>
      <c r="C78" s="17">
        <f>SUM(D78:S78)</f>
        <v>94435100</v>
      </c>
      <c r="D78" s="10">
        <f t="shared" ref="D78:N78" si="59">D79+D80+D81+D82</f>
        <v>0</v>
      </c>
      <c r="E78" s="10">
        <f t="shared" si="59"/>
        <v>0</v>
      </c>
      <c r="F78" s="10">
        <f t="shared" si="59"/>
        <v>0</v>
      </c>
      <c r="G78" s="10">
        <f t="shared" si="59"/>
        <v>0</v>
      </c>
      <c r="H78" s="10">
        <f t="shared" si="59"/>
        <v>0</v>
      </c>
      <c r="I78" s="10">
        <f t="shared" si="59"/>
        <v>6109000</v>
      </c>
      <c r="J78" s="10">
        <f t="shared" si="59"/>
        <v>18386800</v>
      </c>
      <c r="K78" s="10">
        <f t="shared" si="59"/>
        <v>18537000</v>
      </c>
      <c r="L78" s="10">
        <f t="shared" si="59"/>
        <v>18416800</v>
      </c>
      <c r="M78" s="10">
        <f>M80</f>
        <v>32985500</v>
      </c>
      <c r="N78" s="10">
        <f t="shared" si="59"/>
        <v>0</v>
      </c>
      <c r="O78" s="17">
        <f>O79+O80+O81+O82</f>
        <v>0</v>
      </c>
      <c r="P78" s="17">
        <f t="shared" ref="P78:S78" si="60">P79+P80+P81+P82</f>
        <v>0</v>
      </c>
      <c r="Q78" s="17">
        <f t="shared" si="60"/>
        <v>0</v>
      </c>
      <c r="R78" s="17">
        <f t="shared" si="60"/>
        <v>0</v>
      </c>
      <c r="S78" s="17">
        <f t="shared" si="60"/>
        <v>0</v>
      </c>
      <c r="T78" s="8" t="s">
        <v>79</v>
      </c>
      <c r="U78" s="2"/>
    </row>
    <row r="79" spans="1:23" s="5" customFormat="1" ht="14.25" x14ac:dyDescent="0.2">
      <c r="A79" s="13">
        <v>71</v>
      </c>
      <c r="B79" s="14" t="s">
        <v>8</v>
      </c>
      <c r="C79" s="16">
        <f>SUM(D79:S79)</f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8"/>
      <c r="U79" s="2"/>
    </row>
    <row r="80" spans="1:23" s="5" customFormat="1" ht="14.25" x14ac:dyDescent="0.2">
      <c r="A80" s="13">
        <v>72</v>
      </c>
      <c r="B80" s="14" t="s">
        <v>9</v>
      </c>
      <c r="C80" s="16">
        <f t="shared" ref="C80:C82" si="61">SUM(D80:S80)</f>
        <v>94435100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f>6168900-59900</f>
        <v>6109000</v>
      </c>
      <c r="J80" s="15">
        <f>17055500+1271500+59800</f>
        <v>18386800</v>
      </c>
      <c r="K80" s="15">
        <v>18537000</v>
      </c>
      <c r="L80" s="15">
        <v>18416800</v>
      </c>
      <c r="M80" s="15">
        <v>32985500</v>
      </c>
      <c r="N80" s="15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8"/>
      <c r="U80" s="22"/>
      <c r="V80" s="2"/>
    </row>
    <row r="81" spans="1:21" s="5" customFormat="1" ht="14.25" x14ac:dyDescent="0.2">
      <c r="A81" s="13">
        <v>73</v>
      </c>
      <c r="B81" s="14" t="s">
        <v>10</v>
      </c>
      <c r="C81" s="16">
        <f t="shared" si="61"/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8"/>
      <c r="U81" s="2"/>
    </row>
    <row r="82" spans="1:21" s="5" customFormat="1" ht="14.25" x14ac:dyDescent="0.2">
      <c r="A82" s="13">
        <v>74</v>
      </c>
      <c r="B82" s="14" t="s">
        <v>11</v>
      </c>
      <c r="C82" s="16">
        <f t="shared" si="61"/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8"/>
      <c r="U82" s="2"/>
    </row>
    <row r="83" spans="1:21" s="5" customFormat="1" ht="154.5" customHeight="1" x14ac:dyDescent="0.2">
      <c r="A83" s="13">
        <v>75</v>
      </c>
      <c r="B83" s="18" t="s">
        <v>85</v>
      </c>
      <c r="C83" s="17">
        <f>SUM(D83:S83)</f>
        <v>17318563.32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f>J84+J85+J86+J87</f>
        <v>2320526.2999999998</v>
      </c>
      <c r="K83" s="10">
        <f>K84+K85+K86+K87</f>
        <v>7998037.0199999996</v>
      </c>
      <c r="L83" s="10">
        <f>L84+L85+L86+L87</f>
        <v>3000000</v>
      </c>
      <c r="M83" s="10">
        <f>M84+M85+M86+M87</f>
        <v>4000000</v>
      </c>
      <c r="N83" s="10">
        <f t="shared" ref="N83:O83" si="62">N84+N85+N86+N87</f>
        <v>0</v>
      </c>
      <c r="O83" s="17">
        <f t="shared" si="62"/>
        <v>0</v>
      </c>
      <c r="P83" s="17">
        <f t="shared" ref="P83:S83" si="63">P84+P85+P86+P87</f>
        <v>0</v>
      </c>
      <c r="Q83" s="17">
        <f t="shared" si="63"/>
        <v>0</v>
      </c>
      <c r="R83" s="17">
        <f t="shared" si="63"/>
        <v>0</v>
      </c>
      <c r="S83" s="17">
        <f t="shared" si="63"/>
        <v>0</v>
      </c>
      <c r="T83" s="8" t="s">
        <v>81</v>
      </c>
      <c r="U83" s="2"/>
    </row>
    <row r="84" spans="1:21" s="5" customFormat="1" ht="14.25" x14ac:dyDescent="0.2">
      <c r="A84" s="13">
        <v>76</v>
      </c>
      <c r="B84" s="14" t="s">
        <v>8</v>
      </c>
      <c r="C84" s="16">
        <f>SUM(D84:S84)</f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8"/>
      <c r="U84" s="2"/>
    </row>
    <row r="85" spans="1:21" s="5" customFormat="1" ht="14.25" x14ac:dyDescent="0.2">
      <c r="A85" s="13">
        <v>77</v>
      </c>
      <c r="B85" s="14" t="s">
        <v>9</v>
      </c>
      <c r="C85" s="16">
        <f t="shared" ref="C85:C87" si="64">SUM(D85:S85)</f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8"/>
      <c r="U85" s="2"/>
    </row>
    <row r="86" spans="1:21" s="5" customFormat="1" ht="14.25" x14ac:dyDescent="0.2">
      <c r="A86" s="13">
        <v>78</v>
      </c>
      <c r="B86" s="14" t="s">
        <v>10</v>
      </c>
      <c r="C86" s="16">
        <f t="shared" si="64"/>
        <v>17318563.32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f>1340000+1254911-253786.1-20598.6</f>
        <v>2320526.2999999998</v>
      </c>
      <c r="K86" s="15">
        <f>6000000+1998037.02</f>
        <v>7998037.0199999996</v>
      </c>
      <c r="L86" s="15">
        <v>3000000</v>
      </c>
      <c r="M86" s="15">
        <v>4000000</v>
      </c>
      <c r="N86" s="15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8"/>
      <c r="U86" s="2"/>
    </row>
    <row r="87" spans="1:21" s="5" customFormat="1" ht="14.25" x14ac:dyDescent="0.2">
      <c r="A87" s="13">
        <v>79</v>
      </c>
      <c r="B87" s="14" t="s">
        <v>11</v>
      </c>
      <c r="C87" s="16">
        <f t="shared" si="64"/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8"/>
      <c r="U87" s="2"/>
    </row>
    <row r="88" spans="1:21" s="5" customFormat="1" ht="128.25" x14ac:dyDescent="0.2">
      <c r="A88" s="13">
        <v>80</v>
      </c>
      <c r="B88" s="18" t="s">
        <v>88</v>
      </c>
      <c r="C88" s="17">
        <f>SUM(D88:S88)</f>
        <v>5533647.0800000001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f>K89+K90+K91+K92</f>
        <v>759597.2</v>
      </c>
      <c r="L88" s="10">
        <f>L89+L90+L91+L92</f>
        <v>2404100</v>
      </c>
      <c r="M88" s="10">
        <f>M89+M90+M91+M92</f>
        <v>2369949.88</v>
      </c>
      <c r="N88" s="10">
        <f t="shared" ref="N88:O88" si="65">N89+N90+N91+N92</f>
        <v>0</v>
      </c>
      <c r="O88" s="17">
        <f t="shared" si="65"/>
        <v>0</v>
      </c>
      <c r="P88" s="17">
        <f t="shared" ref="P88:S88" si="66">P89+P90+P91+P92</f>
        <v>0</v>
      </c>
      <c r="Q88" s="17">
        <f t="shared" si="66"/>
        <v>0</v>
      </c>
      <c r="R88" s="17">
        <f t="shared" si="66"/>
        <v>0</v>
      </c>
      <c r="S88" s="17">
        <f t="shared" si="66"/>
        <v>0</v>
      </c>
      <c r="T88" s="8" t="s">
        <v>89</v>
      </c>
      <c r="U88" s="2"/>
    </row>
    <row r="89" spans="1:21" s="5" customFormat="1" ht="14.25" x14ac:dyDescent="0.2">
      <c r="A89" s="13">
        <v>81</v>
      </c>
      <c r="B89" s="14" t="s">
        <v>8</v>
      </c>
      <c r="C89" s="16">
        <f>SUM(D89:S89)</f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8"/>
      <c r="U89" s="2"/>
    </row>
    <row r="90" spans="1:21" s="5" customFormat="1" ht="14.25" x14ac:dyDescent="0.2">
      <c r="A90" s="13">
        <v>82</v>
      </c>
      <c r="B90" s="14" t="s">
        <v>9</v>
      </c>
      <c r="C90" s="16">
        <f t="shared" ref="C90:C92" si="67">SUM(D90:S90)</f>
        <v>5533647.0800000001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759597.2</v>
      </c>
      <c r="L90" s="15">
        <v>2404100</v>
      </c>
      <c r="M90" s="15">
        <v>2369949.88</v>
      </c>
      <c r="N90" s="15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8"/>
      <c r="U90" s="2"/>
    </row>
    <row r="91" spans="1:21" s="5" customFormat="1" ht="14.25" x14ac:dyDescent="0.2">
      <c r="A91" s="13">
        <v>83</v>
      </c>
      <c r="B91" s="14" t="s">
        <v>10</v>
      </c>
      <c r="C91" s="16">
        <f t="shared" si="67"/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8"/>
      <c r="U91" s="2"/>
    </row>
    <row r="92" spans="1:21" s="5" customFormat="1" ht="14.25" x14ac:dyDescent="0.2">
      <c r="A92" s="13">
        <v>84</v>
      </c>
      <c r="B92" s="14" t="s">
        <v>11</v>
      </c>
      <c r="C92" s="16">
        <f t="shared" si="67"/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8"/>
      <c r="U92" s="2"/>
    </row>
    <row r="93" spans="1:21" s="5" customFormat="1" ht="156.75" x14ac:dyDescent="0.2">
      <c r="A93" s="13">
        <v>85</v>
      </c>
      <c r="B93" s="18" t="s">
        <v>105</v>
      </c>
      <c r="C93" s="17">
        <f>SUM(D93:S93)</f>
        <v>209600</v>
      </c>
      <c r="D93" s="10">
        <f>D94+D95+D96+D97</f>
        <v>0</v>
      </c>
      <c r="E93" s="10">
        <f t="shared" ref="E93:S93" si="68">E94+E95+E96+E97</f>
        <v>0</v>
      </c>
      <c r="F93" s="10">
        <f t="shared" si="68"/>
        <v>0</v>
      </c>
      <c r="G93" s="10">
        <f t="shared" si="68"/>
        <v>0</v>
      </c>
      <c r="H93" s="10">
        <f t="shared" si="68"/>
        <v>0</v>
      </c>
      <c r="I93" s="10">
        <f t="shared" si="68"/>
        <v>0</v>
      </c>
      <c r="J93" s="10">
        <f t="shared" si="68"/>
        <v>0</v>
      </c>
      <c r="K93" s="10">
        <f t="shared" si="68"/>
        <v>0</v>
      </c>
      <c r="L93" s="10">
        <f t="shared" si="68"/>
        <v>0</v>
      </c>
      <c r="M93" s="10">
        <f t="shared" si="68"/>
        <v>209600</v>
      </c>
      <c r="N93" s="10">
        <f t="shared" si="68"/>
        <v>0</v>
      </c>
      <c r="O93" s="10">
        <f t="shared" si="68"/>
        <v>0</v>
      </c>
      <c r="P93" s="10">
        <f t="shared" si="68"/>
        <v>0</v>
      </c>
      <c r="Q93" s="10">
        <f t="shared" si="68"/>
        <v>0</v>
      </c>
      <c r="R93" s="10">
        <f t="shared" si="68"/>
        <v>0</v>
      </c>
      <c r="S93" s="10">
        <f t="shared" si="68"/>
        <v>0</v>
      </c>
      <c r="T93" s="8" t="s">
        <v>89</v>
      </c>
      <c r="U93" s="2"/>
    </row>
    <row r="94" spans="1:21" s="5" customFormat="1" ht="14.25" x14ac:dyDescent="0.2">
      <c r="A94" s="13">
        <v>86</v>
      </c>
      <c r="B94" s="14" t="s">
        <v>8</v>
      </c>
      <c r="C94" s="16">
        <f t="shared" ref="C94:C97" si="69">SUM(D94:S94)</f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8"/>
      <c r="U94" s="2"/>
    </row>
    <row r="95" spans="1:21" s="5" customFormat="1" ht="14.25" x14ac:dyDescent="0.2">
      <c r="A95" s="13">
        <v>87</v>
      </c>
      <c r="B95" s="14" t="s">
        <v>9</v>
      </c>
      <c r="C95" s="16">
        <f t="shared" si="69"/>
        <v>209600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209600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8"/>
      <c r="U95" s="2"/>
    </row>
    <row r="96" spans="1:21" s="5" customFormat="1" ht="14.25" x14ac:dyDescent="0.2">
      <c r="A96" s="13">
        <v>88</v>
      </c>
      <c r="B96" s="14" t="s">
        <v>10</v>
      </c>
      <c r="C96" s="16">
        <f t="shared" si="69"/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8"/>
      <c r="U96" s="2"/>
    </row>
    <row r="97" spans="1:21" s="5" customFormat="1" ht="14.25" x14ac:dyDescent="0.2">
      <c r="A97" s="13">
        <v>89</v>
      </c>
      <c r="B97" s="14" t="s">
        <v>11</v>
      </c>
      <c r="C97" s="16">
        <f t="shared" si="69"/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8"/>
      <c r="U97" s="2"/>
    </row>
    <row r="98" spans="1:21" s="42" customFormat="1" x14ac:dyDescent="0.2">
      <c r="A98" s="43">
        <v>1</v>
      </c>
      <c r="B98" s="43">
        <v>2</v>
      </c>
      <c r="C98" s="43">
        <v>3</v>
      </c>
      <c r="D98" s="43">
        <v>4</v>
      </c>
      <c r="E98" s="43">
        <v>5</v>
      </c>
      <c r="F98" s="43">
        <v>6</v>
      </c>
      <c r="G98" s="43">
        <v>7</v>
      </c>
      <c r="H98" s="43">
        <v>8</v>
      </c>
      <c r="I98" s="43">
        <v>9</v>
      </c>
      <c r="J98" s="43">
        <v>10</v>
      </c>
      <c r="K98" s="43">
        <v>11</v>
      </c>
      <c r="L98" s="43">
        <v>12</v>
      </c>
      <c r="M98" s="43">
        <v>13</v>
      </c>
      <c r="N98" s="43">
        <v>14</v>
      </c>
      <c r="O98" s="43">
        <v>15</v>
      </c>
      <c r="P98" s="43">
        <v>16</v>
      </c>
      <c r="Q98" s="43">
        <v>17</v>
      </c>
      <c r="R98" s="43">
        <v>18</v>
      </c>
      <c r="S98" s="43">
        <v>19</v>
      </c>
      <c r="T98" s="43">
        <v>20</v>
      </c>
      <c r="U98" s="2"/>
    </row>
    <row r="99" spans="1:21" s="5" customFormat="1" ht="15" customHeight="1" x14ac:dyDescent="0.2">
      <c r="A99" s="13">
        <v>90</v>
      </c>
      <c r="B99" s="48" t="s">
        <v>154</v>
      </c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2"/>
    </row>
    <row r="100" spans="1:21" s="5" customFormat="1" ht="42.75" x14ac:dyDescent="0.2">
      <c r="A100" s="13">
        <v>91</v>
      </c>
      <c r="B100" s="9" t="s">
        <v>38</v>
      </c>
      <c r="C100" s="17">
        <f>SUM(D100:S100)</f>
        <v>812515587.12000012</v>
      </c>
      <c r="D100" s="17">
        <f t="shared" ref="D100:N104" si="70">D106</f>
        <v>47018620.57</v>
      </c>
      <c r="E100" s="17">
        <f t="shared" si="70"/>
        <v>42410256.730000004</v>
      </c>
      <c r="F100" s="17">
        <f t="shared" si="70"/>
        <v>36703769.769999988</v>
      </c>
      <c r="G100" s="17">
        <f t="shared" si="70"/>
        <v>39449023.25</v>
      </c>
      <c r="H100" s="17">
        <f t="shared" si="70"/>
        <v>42329235.009999998</v>
      </c>
      <c r="I100" s="17">
        <f t="shared" si="70"/>
        <v>52428618.959999993</v>
      </c>
      <c r="J100" s="17">
        <f t="shared" si="70"/>
        <v>45150526.400000006</v>
      </c>
      <c r="K100" s="17">
        <f t="shared" si="70"/>
        <v>54723518.490000002</v>
      </c>
      <c r="L100" s="17">
        <f t="shared" si="70"/>
        <v>60636740.82</v>
      </c>
      <c r="M100" s="17">
        <f>M106</f>
        <v>69540723.790000007</v>
      </c>
      <c r="N100" s="17">
        <f t="shared" si="70"/>
        <v>71988897.520000011</v>
      </c>
      <c r="O100" s="17">
        <f t="shared" ref="O100:S100" si="71">O106</f>
        <v>69661005.520000011</v>
      </c>
      <c r="P100" s="17">
        <f t="shared" si="71"/>
        <v>41310473.439999998</v>
      </c>
      <c r="Q100" s="17">
        <f t="shared" si="71"/>
        <v>46388058.950000003</v>
      </c>
      <c r="R100" s="17">
        <f t="shared" si="71"/>
        <v>46388058.950000003</v>
      </c>
      <c r="S100" s="17">
        <f t="shared" si="71"/>
        <v>46388058.950000003</v>
      </c>
      <c r="T100" s="12"/>
      <c r="U100" s="2"/>
    </row>
    <row r="101" spans="1:21" s="5" customFormat="1" ht="14.25" x14ac:dyDescent="0.2">
      <c r="A101" s="13">
        <v>92</v>
      </c>
      <c r="B101" s="14" t="s">
        <v>8</v>
      </c>
      <c r="C101" s="16">
        <f>SUM(D101:S101)</f>
        <v>0</v>
      </c>
      <c r="D101" s="16">
        <f t="shared" si="70"/>
        <v>0</v>
      </c>
      <c r="E101" s="16">
        <f t="shared" si="70"/>
        <v>0</v>
      </c>
      <c r="F101" s="16">
        <f t="shared" si="70"/>
        <v>0</v>
      </c>
      <c r="G101" s="16">
        <f t="shared" si="70"/>
        <v>0</v>
      </c>
      <c r="H101" s="16">
        <f t="shared" si="70"/>
        <v>0</v>
      </c>
      <c r="I101" s="16">
        <f t="shared" si="70"/>
        <v>0</v>
      </c>
      <c r="J101" s="16">
        <f t="shared" si="70"/>
        <v>0</v>
      </c>
      <c r="K101" s="16">
        <f t="shared" si="70"/>
        <v>0</v>
      </c>
      <c r="L101" s="16">
        <f>L107</f>
        <v>0</v>
      </c>
      <c r="M101" s="16">
        <f>M107</f>
        <v>0</v>
      </c>
      <c r="N101" s="16">
        <f t="shared" si="70"/>
        <v>0</v>
      </c>
      <c r="O101" s="16">
        <f t="shared" ref="O101:S101" si="72">O107</f>
        <v>0</v>
      </c>
      <c r="P101" s="16">
        <f t="shared" si="72"/>
        <v>0</v>
      </c>
      <c r="Q101" s="16">
        <f t="shared" si="72"/>
        <v>0</v>
      </c>
      <c r="R101" s="16">
        <f t="shared" si="72"/>
        <v>0</v>
      </c>
      <c r="S101" s="16">
        <f t="shared" si="72"/>
        <v>0</v>
      </c>
      <c r="T101" s="12"/>
      <c r="U101" s="2"/>
    </row>
    <row r="102" spans="1:21" s="5" customFormat="1" ht="14.25" x14ac:dyDescent="0.2">
      <c r="A102" s="13">
        <v>93</v>
      </c>
      <c r="B102" s="14" t="s">
        <v>9</v>
      </c>
      <c r="C102" s="16">
        <f t="shared" ref="C102:C104" si="73">SUM(D102:S102)</f>
        <v>8016016.2300000004</v>
      </c>
      <c r="D102" s="16">
        <f t="shared" si="70"/>
        <v>0</v>
      </c>
      <c r="E102" s="16">
        <f t="shared" si="70"/>
        <v>0</v>
      </c>
      <c r="F102" s="16">
        <f t="shared" si="70"/>
        <v>0</v>
      </c>
      <c r="G102" s="16">
        <f>G108</f>
        <v>908100</v>
      </c>
      <c r="H102" s="16">
        <f t="shared" si="70"/>
        <v>292750</v>
      </c>
      <c r="I102" s="16">
        <f t="shared" si="70"/>
        <v>364147.66000000003</v>
      </c>
      <c r="J102" s="16">
        <f t="shared" si="70"/>
        <v>0</v>
      </c>
      <c r="K102" s="16">
        <f>K108</f>
        <v>424662.06</v>
      </c>
      <c r="L102" s="16">
        <f t="shared" ref="L102:L104" si="74">L108</f>
        <v>529497.1</v>
      </c>
      <c r="M102" s="16">
        <f>M108</f>
        <v>5186159.41</v>
      </c>
      <c r="N102" s="16">
        <f t="shared" si="70"/>
        <v>310700</v>
      </c>
      <c r="O102" s="16">
        <f t="shared" ref="O102:S102" si="75">O108</f>
        <v>0</v>
      </c>
      <c r="P102" s="16">
        <f t="shared" si="75"/>
        <v>0</v>
      </c>
      <c r="Q102" s="16">
        <f t="shared" si="75"/>
        <v>0</v>
      </c>
      <c r="R102" s="16">
        <f t="shared" si="75"/>
        <v>0</v>
      </c>
      <c r="S102" s="16">
        <f t="shared" si="75"/>
        <v>0</v>
      </c>
      <c r="T102" s="12"/>
      <c r="U102" s="2"/>
    </row>
    <row r="103" spans="1:21" s="5" customFormat="1" ht="14.25" x14ac:dyDescent="0.2">
      <c r="A103" s="13">
        <v>94</v>
      </c>
      <c r="B103" s="14" t="s">
        <v>10</v>
      </c>
      <c r="C103" s="16">
        <f t="shared" si="73"/>
        <v>771570113.6400001</v>
      </c>
      <c r="D103" s="16">
        <f t="shared" si="70"/>
        <v>47018620.57</v>
      </c>
      <c r="E103" s="16">
        <f t="shared" si="70"/>
        <v>40470010.730000004</v>
      </c>
      <c r="F103" s="16">
        <f t="shared" si="70"/>
        <v>34966179.79999999</v>
      </c>
      <c r="G103" s="16">
        <f t="shared" si="70"/>
        <v>36676754.439999998</v>
      </c>
      <c r="H103" s="16">
        <f t="shared" si="70"/>
        <v>39260397.329999998</v>
      </c>
      <c r="I103" s="16">
        <f t="shared" si="70"/>
        <v>42040584.259999998</v>
      </c>
      <c r="J103" s="16">
        <f>J109</f>
        <v>40263602.940000005</v>
      </c>
      <c r="K103" s="16">
        <f>K109</f>
        <v>49527940.859999999</v>
      </c>
      <c r="L103" s="16">
        <f t="shared" si="74"/>
        <v>55177605</v>
      </c>
      <c r="M103" s="16">
        <f>M109</f>
        <v>64354564.380000003</v>
      </c>
      <c r="N103" s="16">
        <f>N109</f>
        <v>71678197.520000011</v>
      </c>
      <c r="O103" s="16">
        <f>O109</f>
        <v>69661005.520000011</v>
      </c>
      <c r="P103" s="16">
        <f t="shared" ref="P103:S103" si="76">P109</f>
        <v>41310473.439999998</v>
      </c>
      <c r="Q103" s="16">
        <f t="shared" si="76"/>
        <v>46388058.950000003</v>
      </c>
      <c r="R103" s="16">
        <f t="shared" si="76"/>
        <v>46388058.950000003</v>
      </c>
      <c r="S103" s="16">
        <f t="shared" si="76"/>
        <v>46388058.950000003</v>
      </c>
      <c r="T103" s="12"/>
      <c r="U103" s="2"/>
    </row>
    <row r="104" spans="1:21" s="5" customFormat="1" ht="14.25" x14ac:dyDescent="0.2">
      <c r="A104" s="13">
        <v>95</v>
      </c>
      <c r="B104" s="14" t="s">
        <v>11</v>
      </c>
      <c r="C104" s="16">
        <f t="shared" si="73"/>
        <v>32929457.25</v>
      </c>
      <c r="D104" s="16">
        <f t="shared" si="70"/>
        <v>0</v>
      </c>
      <c r="E104" s="16">
        <f>E110</f>
        <v>1940246</v>
      </c>
      <c r="F104" s="16">
        <f>F110</f>
        <v>1737589.97</v>
      </c>
      <c r="G104" s="16">
        <f>G110</f>
        <v>1864168.81</v>
      </c>
      <c r="H104" s="16">
        <f>H110</f>
        <v>2776087.68</v>
      </c>
      <c r="I104" s="16">
        <f t="shared" si="70"/>
        <v>10023887.040000001</v>
      </c>
      <c r="J104" s="16">
        <f t="shared" si="70"/>
        <v>4886923.46</v>
      </c>
      <c r="K104" s="16">
        <f>K110</f>
        <v>4770915.57</v>
      </c>
      <c r="L104" s="16">
        <f t="shared" si="74"/>
        <v>4929638.72</v>
      </c>
      <c r="M104" s="16">
        <f>M110</f>
        <v>0</v>
      </c>
      <c r="N104" s="16">
        <f>N110</f>
        <v>0</v>
      </c>
      <c r="O104" s="16">
        <f>O110</f>
        <v>0</v>
      </c>
      <c r="P104" s="16">
        <f t="shared" ref="P104:S104" si="77">P110</f>
        <v>0</v>
      </c>
      <c r="Q104" s="16">
        <f t="shared" si="77"/>
        <v>0</v>
      </c>
      <c r="R104" s="16">
        <f t="shared" si="77"/>
        <v>0</v>
      </c>
      <c r="S104" s="16">
        <f t="shared" si="77"/>
        <v>0</v>
      </c>
      <c r="T104" s="12"/>
      <c r="U104" s="2"/>
    </row>
    <row r="105" spans="1:21" s="5" customFormat="1" ht="15" x14ac:dyDescent="0.2">
      <c r="A105" s="13">
        <v>96</v>
      </c>
      <c r="B105" s="45" t="s">
        <v>14</v>
      </c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2"/>
    </row>
    <row r="106" spans="1:21" s="5" customFormat="1" ht="30.75" customHeight="1" x14ac:dyDescent="0.2">
      <c r="A106" s="13">
        <v>97</v>
      </c>
      <c r="B106" s="9" t="s">
        <v>15</v>
      </c>
      <c r="C106" s="17">
        <f>SUM(D106:S106)</f>
        <v>812515587.12000012</v>
      </c>
      <c r="D106" s="17">
        <f t="shared" ref="D106:I106" si="78">D107+D108+D109+D110</f>
        <v>47018620.57</v>
      </c>
      <c r="E106" s="17">
        <f t="shared" si="78"/>
        <v>42410256.730000004</v>
      </c>
      <c r="F106" s="17">
        <f t="shared" si="78"/>
        <v>36703769.769999988</v>
      </c>
      <c r="G106" s="17">
        <f t="shared" si="78"/>
        <v>39449023.25</v>
      </c>
      <c r="H106" s="17">
        <f t="shared" si="78"/>
        <v>42329235.009999998</v>
      </c>
      <c r="I106" s="17">
        <f t="shared" si="78"/>
        <v>52428618.959999993</v>
      </c>
      <c r="J106" s="17">
        <f t="shared" ref="J106:O106" si="79">J107+J108+J109+J110</f>
        <v>45150526.400000006</v>
      </c>
      <c r="K106" s="17">
        <f t="shared" si="79"/>
        <v>54723518.490000002</v>
      </c>
      <c r="L106" s="17">
        <f t="shared" si="79"/>
        <v>60636740.82</v>
      </c>
      <c r="M106" s="17">
        <f t="shared" si="79"/>
        <v>69540723.790000007</v>
      </c>
      <c r="N106" s="17">
        <f t="shared" si="79"/>
        <v>71988897.520000011</v>
      </c>
      <c r="O106" s="17">
        <f t="shared" si="79"/>
        <v>69661005.520000011</v>
      </c>
      <c r="P106" s="17">
        <f t="shared" ref="P106:S106" si="80">P107+P108+P109+P110</f>
        <v>41310473.439999998</v>
      </c>
      <c r="Q106" s="17">
        <f t="shared" si="80"/>
        <v>46388058.950000003</v>
      </c>
      <c r="R106" s="17">
        <f t="shared" si="80"/>
        <v>46388058.950000003</v>
      </c>
      <c r="S106" s="17">
        <f t="shared" si="80"/>
        <v>46388058.950000003</v>
      </c>
      <c r="T106" s="8"/>
      <c r="U106" s="2"/>
    </row>
    <row r="107" spans="1:21" s="5" customFormat="1" ht="14.25" x14ac:dyDescent="0.2">
      <c r="A107" s="13">
        <v>98</v>
      </c>
      <c r="B107" s="14" t="s">
        <v>8</v>
      </c>
      <c r="C107" s="16">
        <f>SUM(D107:S107)</f>
        <v>0</v>
      </c>
      <c r="D107" s="16">
        <f t="shared" ref="D107:F109" si="81">D112+D117+D122+D132+D153+D158</f>
        <v>0</v>
      </c>
      <c r="E107" s="16">
        <f t="shared" si="81"/>
        <v>0</v>
      </c>
      <c r="F107" s="16">
        <f t="shared" si="81"/>
        <v>0</v>
      </c>
      <c r="G107" s="16">
        <f>G112+G117+G122+G132+G153+G158+G127+G137+G142+G147</f>
        <v>0</v>
      </c>
      <c r="H107" s="16">
        <f>H112+H117+H122+H132+H153+H158</f>
        <v>0</v>
      </c>
      <c r="I107" s="16">
        <f>I112+I117+I122+I132+I153+I158</f>
        <v>0</v>
      </c>
      <c r="J107" s="16">
        <f>J112+J117+J122+J132+J153+J158</f>
        <v>0</v>
      </c>
      <c r="K107" s="16">
        <f>K112+K117+K122+K132+K153+K158</f>
        <v>0</v>
      </c>
      <c r="L107" s="16">
        <f>L112+L117+L122+L132+L153+L158+L127+L137+L142+L147+L163+L168+L173</f>
        <v>0</v>
      </c>
      <c r="M107" s="16">
        <f t="shared" ref="M107:S107" si="82">M112+M117+M122+M132+M153+M158</f>
        <v>0</v>
      </c>
      <c r="N107" s="16">
        <f t="shared" si="82"/>
        <v>0</v>
      </c>
      <c r="O107" s="16">
        <f t="shared" si="82"/>
        <v>0</v>
      </c>
      <c r="P107" s="16">
        <f t="shared" si="82"/>
        <v>0</v>
      </c>
      <c r="Q107" s="16">
        <f t="shared" si="82"/>
        <v>0</v>
      </c>
      <c r="R107" s="16">
        <f t="shared" si="82"/>
        <v>0</v>
      </c>
      <c r="S107" s="16">
        <f t="shared" si="82"/>
        <v>0</v>
      </c>
      <c r="T107" s="8"/>
      <c r="U107" s="2"/>
    </row>
    <row r="108" spans="1:21" s="5" customFormat="1" ht="14.25" x14ac:dyDescent="0.2">
      <c r="A108" s="13">
        <v>99</v>
      </c>
      <c r="B108" s="14" t="s">
        <v>9</v>
      </c>
      <c r="C108" s="16">
        <f t="shared" ref="C108:C110" si="83">SUM(D108:S108)</f>
        <v>8016016.2300000004</v>
      </c>
      <c r="D108" s="16">
        <f t="shared" si="81"/>
        <v>0</v>
      </c>
      <c r="E108" s="16">
        <f t="shared" si="81"/>
        <v>0</v>
      </c>
      <c r="F108" s="16">
        <f t="shared" si="81"/>
        <v>0</v>
      </c>
      <c r="G108" s="16">
        <f>G113+G118+G123+G133+G154+G159+G128+G138+G143+G148</f>
        <v>908100</v>
      </c>
      <c r="H108" s="16">
        <f>H113+H118+H123+H133+H154+H159+H128+H138+H143+H148+H164</f>
        <v>292750</v>
      </c>
      <c r="I108" s="16">
        <f>I113+I118+I128+I123+I133+I154+I159+I169+I138+I143+I148+I164</f>
        <v>364147.66000000003</v>
      </c>
      <c r="J108" s="16">
        <f>J113+J118+J123+J128+J133+J138+J143+J148+J154+J159+J164+J169</f>
        <v>0</v>
      </c>
      <c r="K108" s="16">
        <f>K113+K118+K123+K133+K154+K159+K169</f>
        <v>424662.06</v>
      </c>
      <c r="L108" s="16">
        <f>L113+L118+L123+L133+L154+L159+L128+L138+L143+L148+L164+L169+L174</f>
        <v>529497.1</v>
      </c>
      <c r="M108" s="16">
        <f>M113+M118+M123+M128+M133+M138+M143+M148+M154+M159+M164+M169+M174</f>
        <v>5186159.41</v>
      </c>
      <c r="N108" s="16">
        <f>N169+N174</f>
        <v>310700</v>
      </c>
      <c r="O108" s="16">
        <f>O113+O118+O123+O133+O154+O159</f>
        <v>0</v>
      </c>
      <c r="P108" s="16">
        <f>P113+P118+P123+P133+P154+P159</f>
        <v>0</v>
      </c>
      <c r="Q108" s="16">
        <f>Q113+Q118+Q123+Q133+Q154+Q159</f>
        <v>0</v>
      </c>
      <c r="R108" s="16">
        <f>R113+R118+R123+R133+R154+R159</f>
        <v>0</v>
      </c>
      <c r="S108" s="16">
        <f>S113+S118+S123+S133+S154+S159</f>
        <v>0</v>
      </c>
      <c r="T108" s="8"/>
      <c r="U108" s="2"/>
    </row>
    <row r="109" spans="1:21" s="5" customFormat="1" ht="14.25" x14ac:dyDescent="0.2">
      <c r="A109" s="13">
        <v>100</v>
      </c>
      <c r="B109" s="14" t="s">
        <v>10</v>
      </c>
      <c r="C109" s="16">
        <f t="shared" si="83"/>
        <v>771570113.6400001</v>
      </c>
      <c r="D109" s="16">
        <f t="shared" si="81"/>
        <v>47018620.57</v>
      </c>
      <c r="E109" s="16">
        <f t="shared" si="81"/>
        <v>40470010.730000004</v>
      </c>
      <c r="F109" s="16">
        <f t="shared" si="81"/>
        <v>34966179.79999999</v>
      </c>
      <c r="G109" s="16">
        <f>G114+G119+G124+G134+G155+G160+G129+G139+G144+G149</f>
        <v>36676754.439999998</v>
      </c>
      <c r="H109" s="16">
        <f>H114+H119+H124+H134+H155+H160+H129+H144+H149+H139+H165</f>
        <v>39260397.329999998</v>
      </c>
      <c r="I109" s="16">
        <f>I114+I119+I124+I129+I134+I144+I149+I155+I160+I165+I170</f>
        <v>42040584.259999998</v>
      </c>
      <c r="J109" s="16">
        <f>J114+J119+J124+J129+J134+J139+J144+J149+J155+J160+J165+J170</f>
        <v>40263602.940000005</v>
      </c>
      <c r="K109" s="16">
        <f>K114+K119+K124+K129+K134+K139+K144+K149+K155+K160+K165+K170</f>
        <v>49527940.859999999</v>
      </c>
      <c r="L109" s="16">
        <f>L114+L119+L124+L134+L155+L160+L129+L139+L144+L149+L165+L170+L175</f>
        <v>55177605</v>
      </c>
      <c r="M109" s="16">
        <f>M114+M119+M155+M165+M170+M175</f>
        <v>64354564.380000003</v>
      </c>
      <c r="N109" s="16">
        <f>N114+N119+N124+N129+N134+N139+N144+N149+N155+N160+N165+N170+N175</f>
        <v>71678197.520000011</v>
      </c>
      <c r="O109" s="16">
        <f t="shared" ref="O109:S110" si="84">O114+O119+O124+O129+O134+O139+O144+O149+O155+O160+O165+O170</f>
        <v>69661005.520000011</v>
      </c>
      <c r="P109" s="16">
        <f t="shared" si="84"/>
        <v>41310473.439999998</v>
      </c>
      <c r="Q109" s="16">
        <f t="shared" si="84"/>
        <v>46388058.950000003</v>
      </c>
      <c r="R109" s="16">
        <f t="shared" si="84"/>
        <v>46388058.950000003</v>
      </c>
      <c r="S109" s="16">
        <f t="shared" si="84"/>
        <v>46388058.950000003</v>
      </c>
      <c r="T109" s="8"/>
      <c r="U109" s="2"/>
    </row>
    <row r="110" spans="1:21" s="5" customFormat="1" ht="14.25" x14ac:dyDescent="0.2">
      <c r="A110" s="13">
        <v>101</v>
      </c>
      <c r="B110" s="14" t="s">
        <v>11</v>
      </c>
      <c r="C110" s="16">
        <f t="shared" si="83"/>
        <v>32929457.25</v>
      </c>
      <c r="D110" s="16">
        <f>D115+D120+D125+D135+D156+D161</f>
        <v>0</v>
      </c>
      <c r="E110" s="16">
        <f>E115+E120+E125+E135+E156+E161</f>
        <v>1940246</v>
      </c>
      <c r="F110" s="16">
        <f>F115</f>
        <v>1737589.97</v>
      </c>
      <c r="G110" s="16">
        <f>G115+G120+G125+G135+G156+G161+G130+G140+G145+G150</f>
        <v>1864168.81</v>
      </c>
      <c r="H110" s="16">
        <f>H115+H120+H125+H135+H156+H161</f>
        <v>2776087.68</v>
      </c>
      <c r="I110" s="16">
        <f>I115+I120+I125+I135+I155+I160+I165+I170</f>
        <v>10023887.040000001</v>
      </c>
      <c r="J110" s="16">
        <f>J115+J120+J125+J130+J135+J140+J145+J150+J156+J161+J166+J171</f>
        <v>4886923.46</v>
      </c>
      <c r="K110" s="16">
        <f>K115+K120+K125+K130+K135+K140+K145+K150+K156+K161+K166+K171</f>
        <v>4770915.57</v>
      </c>
      <c r="L110" s="16">
        <f>L115+L120+L125+L135+L156+L161+L130+L140+L145+L150+L166+L171+L176</f>
        <v>4929638.72</v>
      </c>
      <c r="M110" s="16">
        <f>M115+M120+M125+M130+M135+M140+M145+M150+M156+M161+M166+M171</f>
        <v>0</v>
      </c>
      <c r="N110" s="16">
        <f>N115+N120+N125+N130+N135+N140+N145+N150+N156+N161+N166+N171</f>
        <v>0</v>
      </c>
      <c r="O110" s="16">
        <f t="shared" si="84"/>
        <v>0</v>
      </c>
      <c r="P110" s="16">
        <f t="shared" si="84"/>
        <v>0</v>
      </c>
      <c r="Q110" s="16">
        <f t="shared" si="84"/>
        <v>0</v>
      </c>
      <c r="R110" s="16">
        <f t="shared" si="84"/>
        <v>0</v>
      </c>
      <c r="S110" s="16">
        <f t="shared" si="84"/>
        <v>0</v>
      </c>
      <c r="T110" s="8"/>
      <c r="U110" s="2"/>
    </row>
    <row r="111" spans="1:21" s="5" customFormat="1" ht="90.75" customHeight="1" x14ac:dyDescent="0.2">
      <c r="A111" s="13">
        <v>102</v>
      </c>
      <c r="B111" s="18" t="s">
        <v>106</v>
      </c>
      <c r="C111" s="17">
        <f>SUM(D111:S111)</f>
        <v>621889649.09000015</v>
      </c>
      <c r="D111" s="17">
        <f t="shared" ref="D111:I111" si="85">D112+D113+D114+D115</f>
        <v>43913012.469999999</v>
      </c>
      <c r="E111" s="17">
        <f t="shared" si="85"/>
        <v>39537567.829999998</v>
      </c>
      <c r="F111" s="17">
        <f t="shared" si="85"/>
        <v>33653271.640000001</v>
      </c>
      <c r="G111" s="17">
        <f t="shared" si="85"/>
        <v>34253771.859999999</v>
      </c>
      <c r="H111" s="17">
        <f t="shared" si="85"/>
        <v>37663495.539999999</v>
      </c>
      <c r="I111" s="17">
        <f t="shared" si="85"/>
        <v>39523837.879999995</v>
      </c>
      <c r="J111" s="17">
        <f t="shared" ref="J111:O111" si="86">J112+J113+J114+J115</f>
        <v>39398079.700000003</v>
      </c>
      <c r="K111" s="17">
        <f t="shared" si="86"/>
        <v>43048689.109999999</v>
      </c>
      <c r="L111" s="17">
        <f t="shared" si="86"/>
        <v>44929488.119999997</v>
      </c>
      <c r="M111" s="17">
        <f t="shared" si="86"/>
        <v>51901559.609999999</v>
      </c>
      <c r="N111" s="17">
        <f t="shared" si="86"/>
        <v>51586055.520000003</v>
      </c>
      <c r="O111" s="17">
        <f t="shared" si="86"/>
        <v>51586055.520000003</v>
      </c>
      <c r="P111" s="17">
        <f t="shared" ref="P111:S111" si="87">P112+P113+P114+P115</f>
        <v>23218873.440000001</v>
      </c>
      <c r="Q111" s="17">
        <f t="shared" si="87"/>
        <v>29225296.949999999</v>
      </c>
      <c r="R111" s="17">
        <f t="shared" si="87"/>
        <v>29225296.949999999</v>
      </c>
      <c r="S111" s="17">
        <f t="shared" si="87"/>
        <v>29225296.949999999</v>
      </c>
      <c r="T111" s="8" t="s">
        <v>51</v>
      </c>
      <c r="U111" s="2"/>
    </row>
    <row r="112" spans="1:21" s="5" customFormat="1" ht="14.25" x14ac:dyDescent="0.2">
      <c r="A112" s="13">
        <v>103</v>
      </c>
      <c r="B112" s="14" t="s">
        <v>8</v>
      </c>
      <c r="C112" s="16">
        <f>SUM(D112:S112)</f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8"/>
      <c r="U112" s="2"/>
    </row>
    <row r="113" spans="1:23" s="5" customFormat="1" ht="14.25" x14ac:dyDescent="0.2">
      <c r="A113" s="13">
        <v>104</v>
      </c>
      <c r="B113" s="14" t="s">
        <v>9</v>
      </c>
      <c r="C113" s="16">
        <f t="shared" ref="C113:C115" si="88">SUM(D113:S113)</f>
        <v>5327778.57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224422.06</v>
      </c>
      <c r="L113" s="16">
        <v>109397.1</v>
      </c>
      <c r="M113" s="16">
        <f>191849.86+4802109.55</f>
        <v>4993959.41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8"/>
      <c r="U113" s="2"/>
    </row>
    <row r="114" spans="1:23" s="5" customFormat="1" ht="14.25" x14ac:dyDescent="0.2">
      <c r="A114" s="13">
        <v>105</v>
      </c>
      <c r="B114" s="14" t="s">
        <v>10</v>
      </c>
      <c r="C114" s="16">
        <f t="shared" si="88"/>
        <v>589612854.48000002</v>
      </c>
      <c r="D114" s="16">
        <v>43913012.469999999</v>
      </c>
      <c r="E114" s="24">
        <f>37710321.83-113000</f>
        <v>37597321.829999998</v>
      </c>
      <c r="F114" s="16">
        <f>35004980.11+254753.8-5401156.82+9571.85+7737.75+5328.43+83370+373078.07+1578018.48</f>
        <v>31915681.669999998</v>
      </c>
      <c r="G114" s="16">
        <f>30589226.79+2454492.67+37500-125799.54-565816.87</f>
        <v>32389603.050000001</v>
      </c>
      <c r="H114" s="16">
        <f>26927300+886971.33+1715915.33+4832221.2+525000</f>
        <v>34887407.859999999</v>
      </c>
      <c r="I114" s="16">
        <f>27370788.5+7900667.32+208936.23</f>
        <v>35480392.049999997</v>
      </c>
      <c r="J114" s="16">
        <f>25408227.96+7368617.53+666951.72+1067359.03</f>
        <v>34511156.240000002</v>
      </c>
      <c r="K114" s="16">
        <v>38053351.479999997</v>
      </c>
      <c r="L114" s="16">
        <v>39890452.299999997</v>
      </c>
      <c r="M114" s="16">
        <v>46907600.200000003</v>
      </c>
      <c r="N114" s="16">
        <v>51586055.520000003</v>
      </c>
      <c r="O114" s="16">
        <v>51586055.520000003</v>
      </c>
      <c r="P114" s="16">
        <v>23218873.440000001</v>
      </c>
      <c r="Q114" s="16">
        <v>29225296.949999999</v>
      </c>
      <c r="R114" s="16">
        <v>29225296.949999999</v>
      </c>
      <c r="S114" s="16">
        <v>29225296.949999999</v>
      </c>
      <c r="T114" s="21"/>
      <c r="U114" s="22"/>
      <c r="V114" s="2"/>
      <c r="W114" s="2"/>
    </row>
    <row r="115" spans="1:23" s="5" customFormat="1" ht="14.25" x14ac:dyDescent="0.2">
      <c r="A115" s="13">
        <v>106</v>
      </c>
      <c r="B115" s="14" t="s">
        <v>11</v>
      </c>
      <c r="C115" s="16">
        <f t="shared" si="88"/>
        <v>26949016.039999999</v>
      </c>
      <c r="D115" s="16">
        <v>0</v>
      </c>
      <c r="E115" s="24">
        <f>916546+1023700</f>
        <v>1940246</v>
      </c>
      <c r="F115" s="16">
        <v>1737589.97</v>
      </c>
      <c r="G115" s="16">
        <v>1864168.81</v>
      </c>
      <c r="H115" s="16">
        <v>2776087.68</v>
      </c>
      <c r="I115" s="16">
        <f>3450003.42+593442.41</f>
        <v>4043445.83</v>
      </c>
      <c r="J115" s="16">
        <f>2502587.5+2427051.22+44296.1+1143948.6-1147892.4-83067.56</f>
        <v>4886923.46</v>
      </c>
      <c r="K115" s="16">
        <f>4929638.72-179092.55-104963.02+125332.42</f>
        <v>4770915.57</v>
      </c>
      <c r="L115" s="16">
        <v>4929638.72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25"/>
      <c r="U115" s="2"/>
    </row>
    <row r="116" spans="1:23" s="5" customFormat="1" ht="48" customHeight="1" x14ac:dyDescent="0.2">
      <c r="A116" s="13">
        <v>107</v>
      </c>
      <c r="B116" s="18" t="s">
        <v>107</v>
      </c>
      <c r="C116" s="17">
        <f>SUM(D116:S116)</f>
        <v>22626701.57</v>
      </c>
      <c r="D116" s="17">
        <f t="shared" ref="D116:I116" si="89">SUM(D117:D120)</f>
        <v>620616.4</v>
      </c>
      <c r="E116" s="17">
        <f t="shared" si="89"/>
        <v>587197.19999999995</v>
      </c>
      <c r="F116" s="17">
        <f t="shared" si="89"/>
        <v>685202.4</v>
      </c>
      <c r="G116" s="17">
        <f t="shared" si="89"/>
        <v>617692.17999999993</v>
      </c>
      <c r="H116" s="17">
        <f t="shared" si="89"/>
        <v>590738.98</v>
      </c>
      <c r="I116" s="17">
        <f t="shared" si="89"/>
        <v>579751</v>
      </c>
      <c r="J116" s="17">
        <f t="shared" ref="J116:O116" si="90">SUM(J117:J120)</f>
        <v>373970</v>
      </c>
      <c r="K116" s="17">
        <f t="shared" si="90"/>
        <v>1291357</v>
      </c>
      <c r="L116" s="17">
        <f t="shared" si="90"/>
        <v>1259371.8400000001</v>
      </c>
      <c r="M116" s="17">
        <f t="shared" si="90"/>
        <v>1843257.57</v>
      </c>
      <c r="N116" s="17">
        <f t="shared" si="90"/>
        <v>2491450</v>
      </c>
      <c r="O116" s="17">
        <f t="shared" si="90"/>
        <v>2491450</v>
      </c>
      <c r="P116" s="17">
        <f t="shared" ref="P116:S116" si="91">SUM(P117:P120)</f>
        <v>2491450</v>
      </c>
      <c r="Q116" s="17">
        <f t="shared" si="91"/>
        <v>2234399</v>
      </c>
      <c r="R116" s="17">
        <f t="shared" si="91"/>
        <v>2234399</v>
      </c>
      <c r="S116" s="17">
        <f t="shared" si="91"/>
        <v>2234399</v>
      </c>
      <c r="T116" s="8" t="s">
        <v>61</v>
      </c>
      <c r="U116" s="2"/>
    </row>
    <row r="117" spans="1:23" s="5" customFormat="1" ht="14.25" x14ac:dyDescent="0.2">
      <c r="A117" s="13">
        <v>108</v>
      </c>
      <c r="B117" s="14" t="s">
        <v>8</v>
      </c>
      <c r="C117" s="16">
        <f>SUM(D117:S117)</f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21"/>
      <c r="U117" s="2"/>
    </row>
    <row r="118" spans="1:23" s="5" customFormat="1" ht="14.25" x14ac:dyDescent="0.2">
      <c r="A118" s="13">
        <v>109</v>
      </c>
      <c r="B118" s="14" t="s">
        <v>9</v>
      </c>
      <c r="C118" s="16">
        <f t="shared" ref="C118:C120" si="92">SUM(D118:S118)</f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21"/>
      <c r="U118" s="2"/>
    </row>
    <row r="119" spans="1:23" s="5" customFormat="1" ht="14.25" x14ac:dyDescent="0.2">
      <c r="A119" s="13">
        <v>110</v>
      </c>
      <c r="B119" s="14" t="s">
        <v>10</v>
      </c>
      <c r="C119" s="16">
        <f t="shared" si="92"/>
        <v>22626701.57</v>
      </c>
      <c r="D119" s="16">
        <v>620616.4</v>
      </c>
      <c r="E119" s="24">
        <v>587197.19999999995</v>
      </c>
      <c r="F119" s="16">
        <f>800000-43837.6-70960</f>
        <v>685202.4</v>
      </c>
      <c r="G119" s="16">
        <f>785700-65207-102800.82</f>
        <v>617692.17999999993</v>
      </c>
      <c r="H119" s="16">
        <f>785589-194850.02</f>
        <v>590738.98</v>
      </c>
      <c r="I119" s="16">
        <f>874252-294501</f>
        <v>579751</v>
      </c>
      <c r="J119" s="16">
        <f>874252-874252+400000-46000+20000-30</f>
        <v>373970</v>
      </c>
      <c r="K119" s="16">
        <v>1291357</v>
      </c>
      <c r="L119" s="16">
        <v>1259371.8400000001</v>
      </c>
      <c r="M119" s="16">
        <v>1843257.57</v>
      </c>
      <c r="N119" s="16">
        <v>2491450</v>
      </c>
      <c r="O119" s="16">
        <v>2491450</v>
      </c>
      <c r="P119" s="16">
        <v>2491450</v>
      </c>
      <c r="Q119" s="16">
        <v>2234399</v>
      </c>
      <c r="R119" s="16">
        <v>2234399</v>
      </c>
      <c r="S119" s="16">
        <v>2234399</v>
      </c>
      <c r="T119" s="21"/>
      <c r="U119" s="22"/>
    </row>
    <row r="120" spans="1:23" s="5" customFormat="1" ht="14.25" x14ac:dyDescent="0.2">
      <c r="A120" s="13">
        <v>111</v>
      </c>
      <c r="B120" s="14" t="s">
        <v>11</v>
      </c>
      <c r="C120" s="16">
        <f t="shared" si="92"/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21"/>
      <c r="U120" s="2"/>
    </row>
    <row r="121" spans="1:23" s="5" customFormat="1" ht="60" customHeight="1" x14ac:dyDescent="0.2">
      <c r="A121" s="13">
        <v>112</v>
      </c>
      <c r="B121" s="18" t="s">
        <v>108</v>
      </c>
      <c r="C121" s="17">
        <f>SUM(D121:S121)</f>
        <v>235000</v>
      </c>
      <c r="D121" s="17">
        <f t="shared" ref="D121:I121" si="93">SUM(D122:D125)</f>
        <v>235000</v>
      </c>
      <c r="E121" s="17">
        <f t="shared" si="93"/>
        <v>0</v>
      </c>
      <c r="F121" s="17">
        <f t="shared" si="93"/>
        <v>0</v>
      </c>
      <c r="G121" s="17">
        <f t="shared" si="93"/>
        <v>0</v>
      </c>
      <c r="H121" s="17">
        <f t="shared" si="93"/>
        <v>0</v>
      </c>
      <c r="I121" s="17">
        <f t="shared" si="93"/>
        <v>0</v>
      </c>
      <c r="J121" s="17">
        <f t="shared" ref="J121:O121" si="94">SUM(J122:J125)</f>
        <v>0</v>
      </c>
      <c r="K121" s="17">
        <f t="shared" si="94"/>
        <v>0</v>
      </c>
      <c r="L121" s="17">
        <f t="shared" si="94"/>
        <v>0</v>
      </c>
      <c r="M121" s="17">
        <f t="shared" si="94"/>
        <v>0</v>
      </c>
      <c r="N121" s="17">
        <f t="shared" si="94"/>
        <v>0</v>
      </c>
      <c r="O121" s="17">
        <f t="shared" si="94"/>
        <v>0</v>
      </c>
      <c r="P121" s="17">
        <f t="shared" ref="P121:S121" si="95">SUM(P122:P125)</f>
        <v>0</v>
      </c>
      <c r="Q121" s="17">
        <f t="shared" si="95"/>
        <v>0</v>
      </c>
      <c r="R121" s="17">
        <f t="shared" si="95"/>
        <v>0</v>
      </c>
      <c r="S121" s="17">
        <f t="shared" si="95"/>
        <v>0</v>
      </c>
      <c r="T121" s="8" t="s">
        <v>62</v>
      </c>
      <c r="U121" s="2"/>
    </row>
    <row r="122" spans="1:23" s="5" customFormat="1" ht="14.25" x14ac:dyDescent="0.2">
      <c r="A122" s="13">
        <v>113</v>
      </c>
      <c r="B122" s="14" t="s">
        <v>8</v>
      </c>
      <c r="C122" s="16">
        <f>SUM(D122:S122)</f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21"/>
      <c r="U122" s="2"/>
    </row>
    <row r="123" spans="1:23" s="5" customFormat="1" ht="14.25" x14ac:dyDescent="0.2">
      <c r="A123" s="13">
        <v>114</v>
      </c>
      <c r="B123" s="14" t="s">
        <v>9</v>
      </c>
      <c r="C123" s="16">
        <f t="shared" ref="C123:C125" si="96">SUM(D123:S123)</f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21"/>
      <c r="U123" s="2"/>
    </row>
    <row r="124" spans="1:23" s="5" customFormat="1" ht="14.25" x14ac:dyDescent="0.2">
      <c r="A124" s="13">
        <v>115</v>
      </c>
      <c r="B124" s="14" t="s">
        <v>10</v>
      </c>
      <c r="C124" s="16">
        <f t="shared" si="96"/>
        <v>235000</v>
      </c>
      <c r="D124" s="16">
        <v>235000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21"/>
      <c r="U124" s="2"/>
    </row>
    <row r="125" spans="1:23" s="5" customFormat="1" ht="14.25" x14ac:dyDescent="0.2">
      <c r="A125" s="13">
        <v>116</v>
      </c>
      <c r="B125" s="14" t="s">
        <v>11</v>
      </c>
      <c r="C125" s="16">
        <f t="shared" si="96"/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21"/>
      <c r="U125" s="2"/>
    </row>
    <row r="126" spans="1:23" s="5" customFormat="1" ht="67.5" customHeight="1" x14ac:dyDescent="0.2">
      <c r="A126" s="13">
        <v>117</v>
      </c>
      <c r="B126" s="18" t="s">
        <v>109</v>
      </c>
      <c r="C126" s="17">
        <f>SUM(D126:S126)</f>
        <v>1828000</v>
      </c>
      <c r="D126" s="17">
        <f t="shared" ref="D126:I126" si="97">D127+D128+D129+D130</f>
        <v>0</v>
      </c>
      <c r="E126" s="17">
        <f t="shared" si="97"/>
        <v>0</v>
      </c>
      <c r="F126" s="17">
        <f t="shared" si="97"/>
        <v>0</v>
      </c>
      <c r="G126" s="17">
        <f t="shared" si="97"/>
        <v>1428000</v>
      </c>
      <c r="H126" s="17">
        <f t="shared" si="97"/>
        <v>400000</v>
      </c>
      <c r="I126" s="17">
        <f t="shared" si="97"/>
        <v>0</v>
      </c>
      <c r="J126" s="17">
        <f t="shared" ref="J126:O126" si="98">J127+J128+J129+J130</f>
        <v>0</v>
      </c>
      <c r="K126" s="17">
        <f t="shared" si="98"/>
        <v>0</v>
      </c>
      <c r="L126" s="17">
        <f t="shared" si="98"/>
        <v>0</v>
      </c>
      <c r="M126" s="17">
        <f t="shared" si="98"/>
        <v>0</v>
      </c>
      <c r="N126" s="17">
        <f t="shared" si="98"/>
        <v>0</v>
      </c>
      <c r="O126" s="17">
        <f t="shared" si="98"/>
        <v>0</v>
      </c>
      <c r="P126" s="17">
        <f t="shared" ref="P126:S126" si="99">P127+P128+P129+P130</f>
        <v>0</v>
      </c>
      <c r="Q126" s="17">
        <f t="shared" si="99"/>
        <v>0</v>
      </c>
      <c r="R126" s="17">
        <f t="shared" si="99"/>
        <v>0</v>
      </c>
      <c r="S126" s="17">
        <f t="shared" si="99"/>
        <v>0</v>
      </c>
      <c r="T126" s="8" t="s">
        <v>63</v>
      </c>
      <c r="U126" s="2"/>
    </row>
    <row r="127" spans="1:23" s="5" customFormat="1" ht="14.25" x14ac:dyDescent="0.2">
      <c r="A127" s="13">
        <v>118</v>
      </c>
      <c r="B127" s="14" t="s">
        <v>8</v>
      </c>
      <c r="C127" s="16">
        <f>SUM(D127:S127)</f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21"/>
      <c r="U127" s="2"/>
    </row>
    <row r="128" spans="1:23" s="5" customFormat="1" ht="14.25" x14ac:dyDescent="0.2">
      <c r="A128" s="13">
        <v>119</v>
      </c>
      <c r="B128" s="14" t="s">
        <v>9</v>
      </c>
      <c r="C128" s="16">
        <f t="shared" ref="C128:C130" si="100">SUM(D128:S128)</f>
        <v>914000</v>
      </c>
      <c r="D128" s="16">
        <v>0</v>
      </c>
      <c r="E128" s="16">
        <v>0</v>
      </c>
      <c r="F128" s="16">
        <v>0</v>
      </c>
      <c r="G128" s="16">
        <f>341052+23348+349600</f>
        <v>714000</v>
      </c>
      <c r="H128" s="16">
        <f>200000</f>
        <v>200000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21"/>
      <c r="U128" s="2"/>
    </row>
    <row r="129" spans="1:21" s="5" customFormat="1" ht="14.25" x14ac:dyDescent="0.2">
      <c r="A129" s="13">
        <v>120</v>
      </c>
      <c r="B129" s="14" t="s">
        <v>10</v>
      </c>
      <c r="C129" s="16">
        <f t="shared" si="100"/>
        <v>914000</v>
      </c>
      <c r="D129" s="16">
        <v>0</v>
      </c>
      <c r="E129" s="16">
        <v>0</v>
      </c>
      <c r="F129" s="16">
        <v>0</v>
      </c>
      <c r="G129" s="16">
        <f>342934+370859+207</f>
        <v>714000</v>
      </c>
      <c r="H129" s="16">
        <f>200000</f>
        <v>200000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21"/>
      <c r="U129" s="2"/>
    </row>
    <row r="130" spans="1:21" s="5" customFormat="1" ht="14.25" x14ac:dyDescent="0.2">
      <c r="A130" s="13">
        <v>121</v>
      </c>
      <c r="B130" s="14" t="s">
        <v>11</v>
      </c>
      <c r="C130" s="16">
        <f t="shared" si="100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21"/>
      <c r="U130" s="2"/>
    </row>
    <row r="131" spans="1:21" s="5" customFormat="1" ht="61.5" customHeight="1" x14ac:dyDescent="0.2">
      <c r="A131" s="13">
        <v>122</v>
      </c>
      <c r="B131" s="18" t="s">
        <v>110</v>
      </c>
      <c r="C131" s="17">
        <f>SUM(D131:S131)</f>
        <v>388559</v>
      </c>
      <c r="D131" s="17">
        <f t="shared" ref="D131:I131" si="101">SUM(D132:D135)</f>
        <v>96500</v>
      </c>
      <c r="E131" s="17">
        <f t="shared" si="101"/>
        <v>113000</v>
      </c>
      <c r="F131" s="17">
        <f t="shared" si="101"/>
        <v>68400</v>
      </c>
      <c r="G131" s="17">
        <f t="shared" si="101"/>
        <v>110659</v>
      </c>
      <c r="H131" s="17">
        <f t="shared" si="101"/>
        <v>0</v>
      </c>
      <c r="I131" s="17">
        <f t="shared" si="101"/>
        <v>0</v>
      </c>
      <c r="J131" s="17">
        <f t="shared" ref="J131:O131" si="102">SUM(J132:J135)</f>
        <v>0</v>
      </c>
      <c r="K131" s="17">
        <f t="shared" si="102"/>
        <v>0</v>
      </c>
      <c r="L131" s="17">
        <f t="shared" si="102"/>
        <v>0</v>
      </c>
      <c r="M131" s="17">
        <f t="shared" si="102"/>
        <v>0</v>
      </c>
      <c r="N131" s="17">
        <f t="shared" si="102"/>
        <v>0</v>
      </c>
      <c r="O131" s="17">
        <f t="shared" si="102"/>
        <v>0</v>
      </c>
      <c r="P131" s="17">
        <f t="shared" ref="P131:S131" si="103">SUM(P132:P135)</f>
        <v>0</v>
      </c>
      <c r="Q131" s="17">
        <f t="shared" si="103"/>
        <v>0</v>
      </c>
      <c r="R131" s="17">
        <f t="shared" si="103"/>
        <v>0</v>
      </c>
      <c r="S131" s="17">
        <f t="shared" si="103"/>
        <v>0</v>
      </c>
      <c r="T131" s="8" t="s">
        <v>65</v>
      </c>
      <c r="U131" s="2"/>
    </row>
    <row r="132" spans="1:21" s="5" customFormat="1" ht="14.25" x14ac:dyDescent="0.2">
      <c r="A132" s="13">
        <v>123</v>
      </c>
      <c r="B132" s="14" t="s">
        <v>8</v>
      </c>
      <c r="C132" s="16">
        <f>SUM(D132:S132)</f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8"/>
      <c r="U132" s="2"/>
    </row>
    <row r="133" spans="1:21" s="5" customFormat="1" ht="14.25" x14ac:dyDescent="0.2">
      <c r="A133" s="13">
        <v>124</v>
      </c>
      <c r="B133" s="14" t="s">
        <v>9</v>
      </c>
      <c r="C133" s="16">
        <f t="shared" ref="C133:C135" si="104">SUM(D133:S133)</f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8"/>
      <c r="U133" s="2"/>
    </row>
    <row r="134" spans="1:21" s="5" customFormat="1" ht="14.25" x14ac:dyDescent="0.2">
      <c r="A134" s="13">
        <v>125</v>
      </c>
      <c r="B134" s="14" t="s">
        <v>10</v>
      </c>
      <c r="C134" s="16">
        <f t="shared" si="104"/>
        <v>388559</v>
      </c>
      <c r="D134" s="16">
        <v>96500</v>
      </c>
      <c r="E134" s="16">
        <v>113000</v>
      </c>
      <c r="F134" s="16">
        <v>68400</v>
      </c>
      <c r="G134" s="16">
        <f>94500+16159</f>
        <v>110659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8"/>
      <c r="U134" s="2"/>
    </row>
    <row r="135" spans="1:21" s="5" customFormat="1" ht="14.25" x14ac:dyDescent="0.2">
      <c r="A135" s="13">
        <v>126</v>
      </c>
      <c r="B135" s="14" t="s">
        <v>11</v>
      </c>
      <c r="C135" s="16">
        <f t="shared" si="104"/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8"/>
      <c r="U135" s="2"/>
    </row>
    <row r="136" spans="1:21" s="5" customFormat="1" ht="105" customHeight="1" x14ac:dyDescent="0.2">
      <c r="A136" s="13">
        <v>127</v>
      </c>
      <c r="B136" s="18" t="s">
        <v>111</v>
      </c>
      <c r="C136" s="17">
        <f>SUM(D136:S136)</f>
        <v>809158.66</v>
      </c>
      <c r="D136" s="17">
        <f t="shared" ref="D136:I136" si="105">D137+D138+D139+D140</f>
        <v>0</v>
      </c>
      <c r="E136" s="17">
        <f t="shared" si="105"/>
        <v>0</v>
      </c>
      <c r="F136" s="17">
        <f t="shared" si="105"/>
        <v>0</v>
      </c>
      <c r="G136" s="17">
        <f t="shared" si="105"/>
        <v>449100</v>
      </c>
      <c r="H136" s="17">
        <f t="shared" si="105"/>
        <v>119050</v>
      </c>
      <c r="I136" s="17">
        <f t="shared" si="105"/>
        <v>241008.66</v>
      </c>
      <c r="J136" s="17">
        <f t="shared" ref="J136:O136" si="106">J137+J138+J139+J140</f>
        <v>0</v>
      </c>
      <c r="K136" s="17">
        <f t="shared" si="106"/>
        <v>0</v>
      </c>
      <c r="L136" s="17">
        <f t="shared" si="106"/>
        <v>0</v>
      </c>
      <c r="M136" s="17">
        <f t="shared" si="106"/>
        <v>0</v>
      </c>
      <c r="N136" s="17">
        <f t="shared" si="106"/>
        <v>0</v>
      </c>
      <c r="O136" s="17">
        <f t="shared" si="106"/>
        <v>0</v>
      </c>
      <c r="P136" s="17">
        <f t="shared" ref="P136:S136" si="107">P137+P138+P139+P140</f>
        <v>0</v>
      </c>
      <c r="Q136" s="17">
        <f t="shared" si="107"/>
        <v>0</v>
      </c>
      <c r="R136" s="17">
        <f t="shared" si="107"/>
        <v>0</v>
      </c>
      <c r="S136" s="17">
        <f t="shared" si="107"/>
        <v>0</v>
      </c>
      <c r="T136" s="8" t="s">
        <v>64</v>
      </c>
      <c r="U136" s="2"/>
    </row>
    <row r="137" spans="1:21" s="5" customFormat="1" ht="14.25" x14ac:dyDescent="0.2">
      <c r="A137" s="13">
        <v>128</v>
      </c>
      <c r="B137" s="14" t="s">
        <v>8</v>
      </c>
      <c r="C137" s="16">
        <f>SUM(D137:S137)</f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8"/>
      <c r="U137" s="2"/>
    </row>
    <row r="138" spans="1:21" s="5" customFormat="1" ht="14.25" x14ac:dyDescent="0.2">
      <c r="A138" s="13">
        <v>129</v>
      </c>
      <c r="B138" s="14" t="s">
        <v>9</v>
      </c>
      <c r="C138" s="16">
        <f t="shared" ref="C138:C140" si="108">SUM(D138:S138)</f>
        <v>390108.66000000003</v>
      </c>
      <c r="D138" s="16">
        <v>0</v>
      </c>
      <c r="E138" s="16">
        <v>0</v>
      </c>
      <c r="F138" s="16">
        <v>0</v>
      </c>
      <c r="G138" s="16">
        <v>149100</v>
      </c>
      <c r="H138" s="16">
        <v>0</v>
      </c>
      <c r="I138" s="16">
        <v>241008.66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8"/>
      <c r="U138" s="2"/>
    </row>
    <row r="139" spans="1:21" s="5" customFormat="1" ht="14.25" x14ac:dyDescent="0.2">
      <c r="A139" s="13">
        <v>130</v>
      </c>
      <c r="B139" s="14" t="s">
        <v>10</v>
      </c>
      <c r="C139" s="16">
        <f t="shared" si="108"/>
        <v>419050</v>
      </c>
      <c r="D139" s="16">
        <v>0</v>
      </c>
      <c r="E139" s="16">
        <v>0</v>
      </c>
      <c r="F139" s="16">
        <v>0</v>
      </c>
      <c r="G139" s="16">
        <v>300000</v>
      </c>
      <c r="H139" s="16">
        <v>119050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8"/>
      <c r="U139" s="2"/>
    </row>
    <row r="140" spans="1:21" s="5" customFormat="1" ht="14.25" x14ac:dyDescent="0.2">
      <c r="A140" s="13">
        <v>131</v>
      </c>
      <c r="B140" s="14" t="s">
        <v>11</v>
      </c>
      <c r="C140" s="16">
        <f t="shared" si="108"/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8"/>
      <c r="U140" s="2"/>
    </row>
    <row r="141" spans="1:21" s="5" customFormat="1" ht="64.5" customHeight="1" x14ac:dyDescent="0.2">
      <c r="A141" s="13">
        <v>132</v>
      </c>
      <c r="B141" s="18" t="s">
        <v>112</v>
      </c>
      <c r="C141" s="17">
        <f>SUM(D141:S141)</f>
        <v>187500</v>
      </c>
      <c r="D141" s="17">
        <f t="shared" ref="D141:I141" si="109">D142+D143+D144+D145</f>
        <v>0</v>
      </c>
      <c r="E141" s="17">
        <f t="shared" si="109"/>
        <v>0</v>
      </c>
      <c r="F141" s="17">
        <f t="shared" si="109"/>
        <v>0</v>
      </c>
      <c r="G141" s="17">
        <f t="shared" si="109"/>
        <v>60000</v>
      </c>
      <c r="H141" s="17">
        <f t="shared" si="109"/>
        <v>127500</v>
      </c>
      <c r="I141" s="17">
        <f t="shared" si="109"/>
        <v>0</v>
      </c>
      <c r="J141" s="17">
        <f t="shared" ref="J141:O141" si="110">J142+J143+J144+J145</f>
        <v>0</v>
      </c>
      <c r="K141" s="17">
        <f t="shared" si="110"/>
        <v>0</v>
      </c>
      <c r="L141" s="17">
        <f t="shared" si="110"/>
        <v>0</v>
      </c>
      <c r="M141" s="17">
        <f t="shared" si="110"/>
        <v>0</v>
      </c>
      <c r="N141" s="17">
        <f t="shared" si="110"/>
        <v>0</v>
      </c>
      <c r="O141" s="17">
        <f t="shared" si="110"/>
        <v>0</v>
      </c>
      <c r="P141" s="17">
        <f t="shared" ref="P141:S141" si="111">P142+P143+P144+P145</f>
        <v>0</v>
      </c>
      <c r="Q141" s="17">
        <f t="shared" si="111"/>
        <v>0</v>
      </c>
      <c r="R141" s="17">
        <f t="shared" si="111"/>
        <v>0</v>
      </c>
      <c r="S141" s="17">
        <f t="shared" si="111"/>
        <v>0</v>
      </c>
      <c r="T141" s="8" t="s">
        <v>66</v>
      </c>
      <c r="U141" s="2"/>
    </row>
    <row r="142" spans="1:21" s="5" customFormat="1" ht="14.25" x14ac:dyDescent="0.2">
      <c r="A142" s="13">
        <v>133</v>
      </c>
      <c r="B142" s="14" t="s">
        <v>8</v>
      </c>
      <c r="C142" s="16">
        <f>SUM(D142:S142)</f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8"/>
      <c r="U142" s="2"/>
    </row>
    <row r="143" spans="1:21" s="5" customFormat="1" ht="14.25" x14ac:dyDescent="0.2">
      <c r="A143" s="13">
        <v>134</v>
      </c>
      <c r="B143" s="14" t="s">
        <v>9</v>
      </c>
      <c r="C143" s="16">
        <f t="shared" ref="C143:C145" si="112">SUM(D143:S143)</f>
        <v>93750</v>
      </c>
      <c r="D143" s="16">
        <v>0</v>
      </c>
      <c r="E143" s="16">
        <v>0</v>
      </c>
      <c r="F143" s="16">
        <v>0</v>
      </c>
      <c r="G143" s="16">
        <v>30000</v>
      </c>
      <c r="H143" s="16">
        <v>63750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8"/>
      <c r="U143" s="2"/>
    </row>
    <row r="144" spans="1:21" s="5" customFormat="1" ht="14.25" x14ac:dyDescent="0.2">
      <c r="A144" s="13">
        <v>135</v>
      </c>
      <c r="B144" s="14" t="s">
        <v>10</v>
      </c>
      <c r="C144" s="16">
        <f t="shared" si="112"/>
        <v>93750</v>
      </c>
      <c r="D144" s="16">
        <v>0</v>
      </c>
      <c r="E144" s="16">
        <v>0</v>
      </c>
      <c r="F144" s="16">
        <v>0</v>
      </c>
      <c r="G144" s="16">
        <v>30000</v>
      </c>
      <c r="H144" s="16">
        <f>63750</f>
        <v>63750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8"/>
      <c r="U144" s="2"/>
    </row>
    <row r="145" spans="1:21" s="5" customFormat="1" ht="14.25" x14ac:dyDescent="0.2">
      <c r="A145" s="13">
        <v>136</v>
      </c>
      <c r="B145" s="14" t="s">
        <v>11</v>
      </c>
      <c r="C145" s="16">
        <f t="shared" si="112"/>
        <v>0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8"/>
      <c r="U145" s="2"/>
    </row>
    <row r="146" spans="1:21" s="5" customFormat="1" ht="99.75" x14ac:dyDescent="0.2">
      <c r="A146" s="13">
        <v>137</v>
      </c>
      <c r="B146" s="18" t="s">
        <v>113</v>
      </c>
      <c r="C146" s="17">
        <f t="shared" ref="C146:C176" si="113">SUM(D146:S146)</f>
        <v>88000</v>
      </c>
      <c r="D146" s="17">
        <f t="shared" ref="D146:I146" si="114">D147+D148+D149+D150</f>
        <v>0</v>
      </c>
      <c r="E146" s="17">
        <f t="shared" si="114"/>
        <v>0</v>
      </c>
      <c r="F146" s="17">
        <f t="shared" si="114"/>
        <v>0</v>
      </c>
      <c r="G146" s="17">
        <f t="shared" si="114"/>
        <v>30000</v>
      </c>
      <c r="H146" s="17">
        <f t="shared" si="114"/>
        <v>58000</v>
      </c>
      <c r="I146" s="17">
        <f t="shared" si="114"/>
        <v>0</v>
      </c>
      <c r="J146" s="17">
        <f t="shared" ref="J146:O146" si="115">J147+J148+J149+J150</f>
        <v>0</v>
      </c>
      <c r="K146" s="17">
        <f t="shared" si="115"/>
        <v>0</v>
      </c>
      <c r="L146" s="17">
        <f t="shared" si="115"/>
        <v>0</v>
      </c>
      <c r="M146" s="17">
        <f t="shared" si="115"/>
        <v>0</v>
      </c>
      <c r="N146" s="17">
        <f t="shared" si="115"/>
        <v>0</v>
      </c>
      <c r="O146" s="17">
        <f t="shared" si="115"/>
        <v>0</v>
      </c>
      <c r="P146" s="17">
        <f t="shared" ref="P146:S146" si="116">P147+P148+P149+P150</f>
        <v>0</v>
      </c>
      <c r="Q146" s="17">
        <f t="shared" si="116"/>
        <v>0</v>
      </c>
      <c r="R146" s="17">
        <f t="shared" si="116"/>
        <v>0</v>
      </c>
      <c r="S146" s="17">
        <f t="shared" si="116"/>
        <v>0</v>
      </c>
      <c r="T146" s="8" t="s">
        <v>66</v>
      </c>
      <c r="U146" s="2"/>
    </row>
    <row r="147" spans="1:21" s="5" customFormat="1" ht="14.25" x14ac:dyDescent="0.2">
      <c r="A147" s="13">
        <v>138</v>
      </c>
      <c r="B147" s="14" t="s">
        <v>8</v>
      </c>
      <c r="C147" s="16">
        <f t="shared" si="113"/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8"/>
      <c r="U147" s="2"/>
    </row>
    <row r="148" spans="1:21" s="5" customFormat="1" ht="14.25" x14ac:dyDescent="0.2">
      <c r="A148" s="13">
        <v>139</v>
      </c>
      <c r="B148" s="14" t="s">
        <v>9</v>
      </c>
      <c r="C148" s="16">
        <f t="shared" si="113"/>
        <v>44000</v>
      </c>
      <c r="D148" s="16">
        <v>0</v>
      </c>
      <c r="E148" s="16">
        <v>0</v>
      </c>
      <c r="F148" s="16">
        <v>0</v>
      </c>
      <c r="G148" s="16">
        <v>15000</v>
      </c>
      <c r="H148" s="16">
        <f>29000</f>
        <v>29000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8"/>
      <c r="U148" s="2"/>
    </row>
    <row r="149" spans="1:21" s="5" customFormat="1" ht="14.25" x14ac:dyDescent="0.2">
      <c r="A149" s="13">
        <v>140</v>
      </c>
      <c r="B149" s="14" t="s">
        <v>10</v>
      </c>
      <c r="C149" s="16">
        <f t="shared" si="113"/>
        <v>44000</v>
      </c>
      <c r="D149" s="16">
        <v>0</v>
      </c>
      <c r="E149" s="16">
        <v>0</v>
      </c>
      <c r="F149" s="16">
        <v>0</v>
      </c>
      <c r="G149" s="16">
        <v>15000</v>
      </c>
      <c r="H149" s="16">
        <f>29000</f>
        <v>29000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8"/>
      <c r="U149" s="2"/>
    </row>
    <row r="150" spans="1:21" s="5" customFormat="1" ht="14.25" x14ac:dyDescent="0.2">
      <c r="A150" s="13">
        <v>141</v>
      </c>
      <c r="B150" s="14" t="s">
        <v>11</v>
      </c>
      <c r="C150" s="16">
        <f t="shared" si="113"/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8"/>
      <c r="U150" s="2"/>
    </row>
    <row r="151" spans="1:21" s="42" customFormat="1" x14ac:dyDescent="0.2">
      <c r="A151" s="43">
        <v>1</v>
      </c>
      <c r="B151" s="43">
        <v>2</v>
      </c>
      <c r="C151" s="43">
        <v>3</v>
      </c>
      <c r="D151" s="43">
        <v>4</v>
      </c>
      <c r="E151" s="43">
        <v>5</v>
      </c>
      <c r="F151" s="43">
        <v>6</v>
      </c>
      <c r="G151" s="43">
        <v>7</v>
      </c>
      <c r="H151" s="43">
        <v>8</v>
      </c>
      <c r="I151" s="43">
        <v>9</v>
      </c>
      <c r="J151" s="43">
        <v>10</v>
      </c>
      <c r="K151" s="43">
        <v>11</v>
      </c>
      <c r="L151" s="43">
        <v>12</v>
      </c>
      <c r="M151" s="43">
        <v>13</v>
      </c>
      <c r="N151" s="43">
        <v>14</v>
      </c>
      <c r="O151" s="43">
        <v>15</v>
      </c>
      <c r="P151" s="43">
        <v>16</v>
      </c>
      <c r="Q151" s="43">
        <v>17</v>
      </c>
      <c r="R151" s="43">
        <v>18</v>
      </c>
      <c r="S151" s="43">
        <v>19</v>
      </c>
      <c r="T151" s="43">
        <v>20</v>
      </c>
      <c r="U151" s="2"/>
    </row>
    <row r="152" spans="1:21" s="5" customFormat="1" ht="114" x14ac:dyDescent="0.2">
      <c r="A152" s="13">
        <v>142</v>
      </c>
      <c r="B152" s="18" t="s">
        <v>114</v>
      </c>
      <c r="C152" s="17">
        <f t="shared" si="113"/>
        <v>37743721.719999999</v>
      </c>
      <c r="D152" s="17">
        <f t="shared" ref="D152:S152" si="117">SUM(D153:D156)</f>
        <v>1653491.7</v>
      </c>
      <c r="E152" s="17">
        <f t="shared" si="117"/>
        <v>1672491.7</v>
      </c>
      <c r="F152" s="17">
        <f t="shared" si="117"/>
        <v>1785076.75</v>
      </c>
      <c r="G152" s="17">
        <f t="shared" si="117"/>
        <v>1999407.21</v>
      </c>
      <c r="H152" s="17">
        <f t="shared" si="117"/>
        <v>1992621.21</v>
      </c>
      <c r="I152" s="17">
        <f t="shared" si="117"/>
        <v>1497821.81</v>
      </c>
      <c r="J152" s="17">
        <f t="shared" si="117"/>
        <v>1299755.45</v>
      </c>
      <c r="K152" s="17">
        <f t="shared" si="117"/>
        <v>2293687.17</v>
      </c>
      <c r="L152" s="17">
        <f t="shared" si="117"/>
        <v>2549368.7200000002</v>
      </c>
      <c r="M152" s="17">
        <f t="shared" si="117"/>
        <v>3000000</v>
      </c>
      <c r="N152" s="17">
        <f t="shared" si="117"/>
        <v>3000000</v>
      </c>
      <c r="O152" s="17">
        <f t="shared" si="117"/>
        <v>3000000</v>
      </c>
      <c r="P152" s="17">
        <f t="shared" si="117"/>
        <v>3000000</v>
      </c>
      <c r="Q152" s="17">
        <f t="shared" si="117"/>
        <v>3000000</v>
      </c>
      <c r="R152" s="17">
        <f t="shared" si="117"/>
        <v>3000000</v>
      </c>
      <c r="S152" s="17">
        <f t="shared" si="117"/>
        <v>3000000</v>
      </c>
      <c r="T152" s="8" t="s">
        <v>67</v>
      </c>
      <c r="U152" s="2"/>
    </row>
    <row r="153" spans="1:21" s="5" customFormat="1" ht="14.25" x14ac:dyDescent="0.2">
      <c r="A153" s="13">
        <v>143</v>
      </c>
      <c r="B153" s="14" t="s">
        <v>8</v>
      </c>
      <c r="C153" s="16">
        <f t="shared" si="113"/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21"/>
      <c r="U153" s="2"/>
    </row>
    <row r="154" spans="1:21" s="5" customFormat="1" ht="14.25" x14ac:dyDescent="0.2">
      <c r="A154" s="13">
        <v>144</v>
      </c>
      <c r="B154" s="14" t="s">
        <v>9</v>
      </c>
      <c r="C154" s="16">
        <f t="shared" si="113"/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21"/>
      <c r="U154" s="2"/>
    </row>
    <row r="155" spans="1:21" s="5" customFormat="1" ht="14.25" x14ac:dyDescent="0.2">
      <c r="A155" s="13">
        <v>145</v>
      </c>
      <c r="B155" s="14" t="s">
        <v>10</v>
      </c>
      <c r="C155" s="16">
        <f t="shared" si="113"/>
        <v>37743721.719999999</v>
      </c>
      <c r="D155" s="16">
        <v>1653491.7</v>
      </c>
      <c r="E155" s="16">
        <v>1672491.7</v>
      </c>
      <c r="F155" s="16">
        <f>1800000-2558.01-12365.24</f>
        <v>1785076.75</v>
      </c>
      <c r="G155" s="16">
        <v>1999407.21</v>
      </c>
      <c r="H155" s="16">
        <f>1999407.21-6786</f>
        <v>1992621.21</v>
      </c>
      <c r="I155" s="16">
        <f>3000000-1502178.19</f>
        <v>1497821.81</v>
      </c>
      <c r="J155" s="16">
        <f>3000000-2000000-900000+1200000-244.55</f>
        <v>1299755.45</v>
      </c>
      <c r="K155" s="16">
        <v>2293687.17</v>
      </c>
      <c r="L155" s="16">
        <v>2549368.7200000002</v>
      </c>
      <c r="M155" s="16">
        <v>3000000</v>
      </c>
      <c r="N155" s="16">
        <v>3000000</v>
      </c>
      <c r="O155" s="16">
        <v>3000000</v>
      </c>
      <c r="P155" s="16">
        <v>3000000</v>
      </c>
      <c r="Q155" s="16">
        <v>3000000</v>
      </c>
      <c r="R155" s="16">
        <v>3000000</v>
      </c>
      <c r="S155" s="16">
        <v>3000000</v>
      </c>
      <c r="T155" s="21"/>
      <c r="U155" s="2"/>
    </row>
    <row r="156" spans="1:21" s="5" customFormat="1" ht="14.25" x14ac:dyDescent="0.2">
      <c r="A156" s="13">
        <v>146</v>
      </c>
      <c r="B156" s="14" t="s">
        <v>11</v>
      </c>
      <c r="C156" s="16">
        <f t="shared" si="113"/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21"/>
      <c r="U156" s="2"/>
    </row>
    <row r="157" spans="1:21" s="5" customFormat="1" ht="78" customHeight="1" x14ac:dyDescent="0.2">
      <c r="A157" s="13">
        <v>147</v>
      </c>
      <c r="B157" s="18" t="s">
        <v>115</v>
      </c>
      <c r="C157" s="17">
        <f t="shared" si="113"/>
        <v>2012211.98</v>
      </c>
      <c r="D157" s="17">
        <f t="shared" ref="D157:I157" si="118">SUM(D158:D161)</f>
        <v>500000</v>
      </c>
      <c r="E157" s="17">
        <f t="shared" si="118"/>
        <v>500000</v>
      </c>
      <c r="F157" s="17">
        <f t="shared" si="118"/>
        <v>511818.98000000004</v>
      </c>
      <c r="G157" s="17">
        <f t="shared" si="118"/>
        <v>500393</v>
      </c>
      <c r="H157" s="17">
        <f t="shared" si="118"/>
        <v>0</v>
      </c>
      <c r="I157" s="17">
        <f t="shared" si="118"/>
        <v>0</v>
      </c>
      <c r="J157" s="17">
        <f t="shared" ref="J157:O157" si="119">SUM(J158:J161)</f>
        <v>0</v>
      </c>
      <c r="K157" s="17">
        <f t="shared" si="119"/>
        <v>0</v>
      </c>
      <c r="L157" s="17">
        <f t="shared" si="119"/>
        <v>0</v>
      </c>
      <c r="M157" s="17">
        <f t="shared" si="119"/>
        <v>0</v>
      </c>
      <c r="N157" s="17">
        <f t="shared" si="119"/>
        <v>0</v>
      </c>
      <c r="O157" s="17">
        <f t="shared" si="119"/>
        <v>0</v>
      </c>
      <c r="P157" s="17">
        <f t="shared" ref="P157:S157" si="120">SUM(P158:P161)</f>
        <v>0</v>
      </c>
      <c r="Q157" s="17">
        <f t="shared" si="120"/>
        <v>0</v>
      </c>
      <c r="R157" s="17">
        <f t="shared" si="120"/>
        <v>0</v>
      </c>
      <c r="S157" s="17">
        <f t="shared" si="120"/>
        <v>0</v>
      </c>
      <c r="T157" s="8" t="s">
        <v>68</v>
      </c>
      <c r="U157" s="2"/>
    </row>
    <row r="158" spans="1:21" s="5" customFormat="1" ht="14.25" x14ac:dyDescent="0.2">
      <c r="A158" s="13">
        <v>148</v>
      </c>
      <c r="B158" s="14" t="s">
        <v>8</v>
      </c>
      <c r="C158" s="16">
        <f t="shared" si="113"/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26"/>
      <c r="U158" s="2"/>
    </row>
    <row r="159" spans="1:21" s="5" customFormat="1" ht="14.25" x14ac:dyDescent="0.2">
      <c r="A159" s="13">
        <v>149</v>
      </c>
      <c r="B159" s="14" t="s">
        <v>9</v>
      </c>
      <c r="C159" s="16">
        <f t="shared" si="113"/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26"/>
      <c r="U159" s="2"/>
    </row>
    <row r="160" spans="1:21" s="5" customFormat="1" ht="14.25" x14ac:dyDescent="0.2">
      <c r="A160" s="13">
        <v>150</v>
      </c>
      <c r="B160" s="14" t="s">
        <v>10</v>
      </c>
      <c r="C160" s="16">
        <f t="shared" si="113"/>
        <v>2012211.98</v>
      </c>
      <c r="D160" s="16">
        <v>500000</v>
      </c>
      <c r="E160" s="16">
        <v>500000</v>
      </c>
      <c r="F160" s="16">
        <f>514139.33-2320.35</f>
        <v>511818.98000000004</v>
      </c>
      <c r="G160" s="16">
        <v>500393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26"/>
      <c r="U160" s="2"/>
    </row>
    <row r="161" spans="1:21" s="5" customFormat="1" ht="14.25" x14ac:dyDescent="0.2">
      <c r="A161" s="13">
        <v>151</v>
      </c>
      <c r="B161" s="14" t="s">
        <v>11</v>
      </c>
      <c r="C161" s="16">
        <f t="shared" si="113"/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26"/>
      <c r="U161" s="2"/>
    </row>
    <row r="162" spans="1:21" s="5" customFormat="1" ht="76.5" customHeight="1" x14ac:dyDescent="0.2">
      <c r="A162" s="13">
        <v>152</v>
      </c>
      <c r="B162" s="18" t="s">
        <v>116</v>
      </c>
      <c r="C162" s="17">
        <f t="shared" si="113"/>
        <v>113891945.28999999</v>
      </c>
      <c r="D162" s="17">
        <v>0</v>
      </c>
      <c r="E162" s="17">
        <v>0</v>
      </c>
      <c r="F162" s="17">
        <v>0</v>
      </c>
      <c r="G162" s="17">
        <v>0</v>
      </c>
      <c r="H162" s="17">
        <f t="shared" ref="H162:N162" si="121">H163+H164+H165+H166</f>
        <v>1377829.2799999998</v>
      </c>
      <c r="I162" s="17">
        <f t="shared" si="121"/>
        <v>4188118.4</v>
      </c>
      <c r="J162" s="17">
        <f t="shared" si="121"/>
        <v>4078721.25</v>
      </c>
      <c r="K162" s="17">
        <f t="shared" si="121"/>
        <v>7653344.6100000003</v>
      </c>
      <c r="L162" s="17">
        <f t="shared" si="121"/>
        <v>10354325.140000001</v>
      </c>
      <c r="M162" s="17">
        <f>M163+M164+M165+M166</f>
        <v>11807607.609999999</v>
      </c>
      <c r="N162" s="17">
        <f t="shared" si="121"/>
        <v>13463260</v>
      </c>
      <c r="O162" s="17">
        <f t="shared" ref="O162:S162" si="122">O163+O164+O165+O166</f>
        <v>12583500</v>
      </c>
      <c r="P162" s="17">
        <f t="shared" si="122"/>
        <v>12600150</v>
      </c>
      <c r="Q162" s="17">
        <f t="shared" si="122"/>
        <v>11928363</v>
      </c>
      <c r="R162" s="17">
        <f t="shared" si="122"/>
        <v>11928363</v>
      </c>
      <c r="S162" s="17">
        <f t="shared" si="122"/>
        <v>11928363</v>
      </c>
      <c r="T162" s="13" t="s">
        <v>73</v>
      </c>
      <c r="U162" s="2"/>
    </row>
    <row r="163" spans="1:21" s="5" customFormat="1" ht="14.25" x14ac:dyDescent="0.2">
      <c r="A163" s="13">
        <v>153</v>
      </c>
      <c r="B163" s="14" t="s">
        <v>8</v>
      </c>
      <c r="C163" s="16">
        <f t="shared" si="113"/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26"/>
      <c r="U163" s="2"/>
    </row>
    <row r="164" spans="1:21" s="5" customFormat="1" ht="14.25" x14ac:dyDescent="0.2">
      <c r="A164" s="13">
        <v>154</v>
      </c>
      <c r="B164" s="14" t="s">
        <v>9</v>
      </c>
      <c r="C164" s="16">
        <f t="shared" si="113"/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26"/>
      <c r="U164" s="2"/>
    </row>
    <row r="165" spans="1:21" s="5" customFormat="1" ht="14.25" x14ac:dyDescent="0.2">
      <c r="A165" s="13">
        <v>155</v>
      </c>
      <c r="B165" s="14" t="s">
        <v>10</v>
      </c>
      <c r="C165" s="16">
        <f t="shared" si="113"/>
        <v>113891945.28999999</v>
      </c>
      <c r="D165" s="16">
        <v>0</v>
      </c>
      <c r="E165" s="16">
        <v>0</v>
      </c>
      <c r="F165" s="16">
        <v>0</v>
      </c>
      <c r="G165" s="16">
        <v>0</v>
      </c>
      <c r="H165" s="16">
        <f>1910314.64-532485.36</f>
        <v>1377829.2799999998</v>
      </c>
      <c r="I165" s="16">
        <v>4188118.4</v>
      </c>
      <c r="J165" s="16">
        <f>3806056.8+698600.7-425936.25</f>
        <v>4078721.25</v>
      </c>
      <c r="K165" s="16">
        <v>7653344.6100000003</v>
      </c>
      <c r="L165" s="16">
        <v>10354325.140000001</v>
      </c>
      <c r="M165" s="16">
        <v>11807607.609999999</v>
      </c>
      <c r="N165" s="16">
        <v>13463260</v>
      </c>
      <c r="O165" s="16">
        <v>12583500</v>
      </c>
      <c r="P165" s="16">
        <v>12600150</v>
      </c>
      <c r="Q165" s="16">
        <v>11928363</v>
      </c>
      <c r="R165" s="16">
        <v>11928363</v>
      </c>
      <c r="S165" s="16">
        <v>11928363</v>
      </c>
      <c r="T165" s="26"/>
      <c r="U165" s="2"/>
    </row>
    <row r="166" spans="1:21" s="5" customFormat="1" ht="14.25" x14ac:dyDescent="0.2">
      <c r="A166" s="13">
        <v>156</v>
      </c>
      <c r="B166" s="14" t="s">
        <v>11</v>
      </c>
      <c r="C166" s="16">
        <f t="shared" si="113"/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26"/>
      <c r="U166" s="2"/>
    </row>
    <row r="167" spans="1:21" s="5" customFormat="1" ht="57" x14ac:dyDescent="0.2">
      <c r="A167" s="13">
        <v>157</v>
      </c>
      <c r="B167" s="18" t="s">
        <v>117</v>
      </c>
      <c r="C167" s="17">
        <f t="shared" si="113"/>
        <v>3470568.6</v>
      </c>
      <c r="D167" s="17">
        <f>D168+D169+D170+D171</f>
        <v>0</v>
      </c>
      <c r="E167" s="17">
        <f t="shared" ref="E167:N167" si="123">E168+E169+E170+E171</f>
        <v>0</v>
      </c>
      <c r="F167" s="17">
        <f t="shared" si="123"/>
        <v>0</v>
      </c>
      <c r="G167" s="17">
        <f t="shared" si="123"/>
        <v>0</v>
      </c>
      <c r="H167" s="17">
        <f t="shared" si="123"/>
        <v>0</v>
      </c>
      <c r="I167" s="17">
        <f t="shared" si="123"/>
        <v>417640</v>
      </c>
      <c r="J167" s="17">
        <f t="shared" si="123"/>
        <v>0</v>
      </c>
      <c r="K167" s="17">
        <f>K168+K169+K170+K171</f>
        <v>436440.6</v>
      </c>
      <c r="L167" s="17">
        <f t="shared" si="123"/>
        <v>885216</v>
      </c>
      <c r="M167" s="17">
        <f>M168+M169+M170+M171</f>
        <v>602740</v>
      </c>
      <c r="N167" s="17">
        <f t="shared" si="123"/>
        <v>1128532</v>
      </c>
      <c r="O167" s="17">
        <f t="shared" ref="O167:S167" si="124">O168+O169+O170+O171</f>
        <v>0</v>
      </c>
      <c r="P167" s="17">
        <f t="shared" si="124"/>
        <v>0</v>
      </c>
      <c r="Q167" s="17">
        <f t="shared" si="124"/>
        <v>0</v>
      </c>
      <c r="R167" s="17">
        <f t="shared" si="124"/>
        <v>0</v>
      </c>
      <c r="S167" s="17">
        <f t="shared" si="124"/>
        <v>0</v>
      </c>
      <c r="T167" s="8" t="s">
        <v>75</v>
      </c>
      <c r="U167" s="2"/>
    </row>
    <row r="168" spans="1:21" s="5" customFormat="1" ht="14.25" x14ac:dyDescent="0.2">
      <c r="A168" s="13">
        <v>158</v>
      </c>
      <c r="B168" s="14" t="s">
        <v>8</v>
      </c>
      <c r="C168" s="16">
        <f t="shared" si="113"/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26"/>
      <c r="U168" s="2"/>
    </row>
    <row r="169" spans="1:21" s="5" customFormat="1" ht="14.25" x14ac:dyDescent="0.2">
      <c r="A169" s="13">
        <v>159</v>
      </c>
      <c r="B169" s="14" t="s">
        <v>9</v>
      </c>
      <c r="C169" s="16">
        <f t="shared" si="113"/>
        <v>686279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123139</v>
      </c>
      <c r="J169" s="16">
        <v>0</v>
      </c>
      <c r="K169" s="16">
        <v>200240</v>
      </c>
      <c r="L169" s="16">
        <f>78600</f>
        <v>78600</v>
      </c>
      <c r="M169" s="16">
        <v>87100</v>
      </c>
      <c r="N169" s="16">
        <v>197200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26"/>
      <c r="U169" s="2"/>
    </row>
    <row r="170" spans="1:21" s="5" customFormat="1" ht="14.25" x14ac:dyDescent="0.2">
      <c r="A170" s="13">
        <v>160</v>
      </c>
      <c r="B170" s="14" t="s">
        <v>10</v>
      </c>
      <c r="C170" s="16">
        <f t="shared" si="113"/>
        <v>2784289.6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294501</v>
      </c>
      <c r="J170" s="16">
        <f>200000-200000</f>
        <v>0</v>
      </c>
      <c r="K170" s="16">
        <v>236200.6</v>
      </c>
      <c r="L170" s="16">
        <f>184729+621887</f>
        <v>806616</v>
      </c>
      <c r="M170" s="16">
        <v>515640</v>
      </c>
      <c r="N170" s="16">
        <f>656332+275000</f>
        <v>931332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26"/>
      <c r="U170" s="22"/>
    </row>
    <row r="171" spans="1:21" s="5" customFormat="1" ht="14.25" x14ac:dyDescent="0.2">
      <c r="A171" s="13">
        <v>161</v>
      </c>
      <c r="B171" s="14" t="s">
        <v>11</v>
      </c>
      <c r="C171" s="16">
        <f t="shared" si="113"/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26"/>
      <c r="U171" s="2"/>
    </row>
    <row r="172" spans="1:21" s="5" customFormat="1" ht="50.25" customHeight="1" x14ac:dyDescent="0.2">
      <c r="A172" s="13">
        <v>162</v>
      </c>
      <c r="B172" s="18" t="s">
        <v>118</v>
      </c>
      <c r="C172" s="17">
        <f t="shared" si="113"/>
        <v>1364130</v>
      </c>
      <c r="D172" s="17">
        <f>SUM(D173:D176)</f>
        <v>0</v>
      </c>
      <c r="E172" s="17">
        <f t="shared" ref="E172:N172" si="125">SUM(E173:E176)</f>
        <v>0</v>
      </c>
      <c r="F172" s="17">
        <f t="shared" si="125"/>
        <v>0</v>
      </c>
      <c r="G172" s="17">
        <f t="shared" si="125"/>
        <v>0</v>
      </c>
      <c r="H172" s="17">
        <f t="shared" si="125"/>
        <v>0</v>
      </c>
      <c r="I172" s="17">
        <f t="shared" si="125"/>
        <v>0</v>
      </c>
      <c r="J172" s="17">
        <f t="shared" si="125"/>
        <v>0</v>
      </c>
      <c r="K172" s="17">
        <f t="shared" si="125"/>
        <v>0</v>
      </c>
      <c r="L172" s="17">
        <f t="shared" si="125"/>
        <v>658971</v>
      </c>
      <c r="M172" s="17">
        <f t="shared" si="125"/>
        <v>385559</v>
      </c>
      <c r="N172" s="17">
        <f t="shared" si="125"/>
        <v>319600</v>
      </c>
      <c r="O172" s="17">
        <f t="shared" ref="O172:S172" si="126">SUM(O173:O176)</f>
        <v>0</v>
      </c>
      <c r="P172" s="17">
        <f t="shared" si="126"/>
        <v>0</v>
      </c>
      <c r="Q172" s="17">
        <f t="shared" si="126"/>
        <v>0</v>
      </c>
      <c r="R172" s="17">
        <f t="shared" si="126"/>
        <v>0</v>
      </c>
      <c r="S172" s="17">
        <f t="shared" si="126"/>
        <v>0</v>
      </c>
      <c r="T172" s="27" t="s">
        <v>141</v>
      </c>
      <c r="U172" s="2"/>
    </row>
    <row r="173" spans="1:21" s="5" customFormat="1" ht="14.25" x14ac:dyDescent="0.2">
      <c r="A173" s="13">
        <v>163</v>
      </c>
      <c r="B173" s="14" t="s">
        <v>8</v>
      </c>
      <c r="C173" s="16">
        <f t="shared" si="113"/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28"/>
      <c r="U173" s="2"/>
    </row>
    <row r="174" spans="1:21" s="5" customFormat="1" ht="14.25" x14ac:dyDescent="0.2">
      <c r="A174" s="13">
        <v>164</v>
      </c>
      <c r="B174" s="14" t="s">
        <v>9</v>
      </c>
      <c r="C174" s="16">
        <f t="shared" si="113"/>
        <v>560100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341500</v>
      </c>
      <c r="M174" s="16">
        <v>105100</v>
      </c>
      <c r="N174" s="16">
        <v>113500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26"/>
      <c r="U174" s="2"/>
    </row>
    <row r="175" spans="1:21" s="5" customFormat="1" ht="14.25" x14ac:dyDescent="0.2">
      <c r="A175" s="13">
        <v>165</v>
      </c>
      <c r="B175" s="14" t="s">
        <v>10</v>
      </c>
      <c r="C175" s="16">
        <f t="shared" si="113"/>
        <v>804030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317471</v>
      </c>
      <c r="M175" s="16">
        <v>280459</v>
      </c>
      <c r="N175" s="16">
        <v>206100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26"/>
      <c r="U175" s="2"/>
    </row>
    <row r="176" spans="1:21" s="5" customFormat="1" ht="14.25" x14ac:dyDescent="0.2">
      <c r="A176" s="13">
        <v>166</v>
      </c>
      <c r="B176" s="14" t="s">
        <v>11</v>
      </c>
      <c r="C176" s="16">
        <f t="shared" si="113"/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26"/>
      <c r="U176" s="2"/>
    </row>
    <row r="177" spans="1:21" s="5" customFormat="1" ht="16.5" customHeight="1" x14ac:dyDescent="0.2">
      <c r="A177" s="13">
        <v>167</v>
      </c>
      <c r="B177" s="48" t="s">
        <v>155</v>
      </c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2"/>
    </row>
    <row r="178" spans="1:21" s="5" customFormat="1" ht="42.75" x14ac:dyDescent="0.2">
      <c r="A178" s="13">
        <v>168</v>
      </c>
      <c r="B178" s="9" t="s">
        <v>20</v>
      </c>
      <c r="C178" s="17">
        <f>SUM(D178:S178)</f>
        <v>635687272.3900001</v>
      </c>
      <c r="D178" s="17">
        <f t="shared" ref="D178:N182" si="127">D184</f>
        <v>34612986.030000001</v>
      </c>
      <c r="E178" s="17">
        <f t="shared" si="127"/>
        <v>32352982.350000001</v>
      </c>
      <c r="F178" s="17">
        <f t="shared" si="127"/>
        <v>31232326.180000003</v>
      </c>
      <c r="G178" s="17">
        <f t="shared" si="127"/>
        <v>32925553.030000001</v>
      </c>
      <c r="H178" s="17">
        <f t="shared" si="127"/>
        <v>35896510.009999998</v>
      </c>
      <c r="I178" s="17">
        <f t="shared" si="127"/>
        <v>37669894.649999999</v>
      </c>
      <c r="J178" s="17">
        <f t="shared" si="127"/>
        <v>36545157.230000004</v>
      </c>
      <c r="K178" s="17">
        <f t="shared" si="127"/>
        <v>39770791.93</v>
      </c>
      <c r="L178" s="17">
        <f t="shared" si="127"/>
        <v>39166951.309999995</v>
      </c>
      <c r="M178" s="17">
        <f>M184</f>
        <v>53729218.699999996</v>
      </c>
      <c r="N178" s="17">
        <f t="shared" si="127"/>
        <v>53478622.350000001</v>
      </c>
      <c r="O178" s="17">
        <f t="shared" ref="O178:S178" si="128">O184</f>
        <v>53096822.350000001</v>
      </c>
      <c r="P178" s="17">
        <f t="shared" si="128"/>
        <v>53096822.350000001</v>
      </c>
      <c r="Q178" s="17">
        <f t="shared" si="128"/>
        <v>34037544.640000001</v>
      </c>
      <c r="R178" s="17">
        <f t="shared" si="128"/>
        <v>34037544.640000001</v>
      </c>
      <c r="S178" s="17">
        <f t="shared" si="128"/>
        <v>34037544.640000001</v>
      </c>
      <c r="T178" s="12"/>
      <c r="U178" s="2"/>
    </row>
    <row r="179" spans="1:21" s="5" customFormat="1" ht="14.25" x14ac:dyDescent="0.2">
      <c r="A179" s="13">
        <v>169</v>
      </c>
      <c r="B179" s="14" t="s">
        <v>8</v>
      </c>
      <c r="C179" s="16">
        <f>SUM(D179:S179)</f>
        <v>0</v>
      </c>
      <c r="D179" s="16">
        <f t="shared" si="127"/>
        <v>0</v>
      </c>
      <c r="E179" s="16">
        <f t="shared" si="127"/>
        <v>0</v>
      </c>
      <c r="F179" s="16">
        <f t="shared" si="127"/>
        <v>0</v>
      </c>
      <c r="G179" s="16">
        <f t="shared" si="127"/>
        <v>0</v>
      </c>
      <c r="H179" s="16">
        <f t="shared" si="127"/>
        <v>0</v>
      </c>
      <c r="I179" s="16">
        <f t="shared" si="127"/>
        <v>0</v>
      </c>
      <c r="J179" s="16">
        <f t="shared" si="127"/>
        <v>0</v>
      </c>
      <c r="K179" s="16">
        <f t="shared" si="127"/>
        <v>0</v>
      </c>
      <c r="L179" s="16">
        <f t="shared" si="127"/>
        <v>0</v>
      </c>
      <c r="M179" s="16">
        <f>M185</f>
        <v>0</v>
      </c>
      <c r="N179" s="16">
        <f t="shared" si="127"/>
        <v>0</v>
      </c>
      <c r="O179" s="16">
        <f t="shared" ref="O179:S179" si="129">O185</f>
        <v>0</v>
      </c>
      <c r="P179" s="16">
        <f t="shared" si="129"/>
        <v>0</v>
      </c>
      <c r="Q179" s="16">
        <f t="shared" si="129"/>
        <v>0</v>
      </c>
      <c r="R179" s="16">
        <f t="shared" si="129"/>
        <v>0</v>
      </c>
      <c r="S179" s="16">
        <f t="shared" si="129"/>
        <v>0</v>
      </c>
      <c r="T179" s="12"/>
      <c r="U179" s="2"/>
    </row>
    <row r="180" spans="1:21" s="5" customFormat="1" ht="14.25" x14ac:dyDescent="0.2">
      <c r="A180" s="13">
        <v>170</v>
      </c>
      <c r="B180" s="14" t="s">
        <v>9</v>
      </c>
      <c r="C180" s="16">
        <f t="shared" ref="C180:C182" si="130">SUM(D180:S180)</f>
        <v>1370200.6400000001</v>
      </c>
      <c r="D180" s="16">
        <f t="shared" si="127"/>
        <v>0</v>
      </c>
      <c r="E180" s="16">
        <f t="shared" si="127"/>
        <v>0</v>
      </c>
      <c r="F180" s="16">
        <f t="shared" si="127"/>
        <v>0</v>
      </c>
      <c r="G180" s="16">
        <f t="shared" si="127"/>
        <v>8000</v>
      </c>
      <c r="H180" s="16">
        <f t="shared" si="127"/>
        <v>0</v>
      </c>
      <c r="I180" s="16">
        <f t="shared" si="127"/>
        <v>0</v>
      </c>
      <c r="J180" s="16">
        <f t="shared" si="127"/>
        <v>0</v>
      </c>
      <c r="K180" s="16">
        <f t="shared" si="127"/>
        <v>56105.51</v>
      </c>
      <c r="L180" s="16">
        <f t="shared" si="127"/>
        <v>346901.98</v>
      </c>
      <c r="M180" s="16">
        <f>M186</f>
        <v>959193.15</v>
      </c>
      <c r="N180" s="16">
        <f t="shared" si="127"/>
        <v>0</v>
      </c>
      <c r="O180" s="16">
        <f t="shared" ref="O180:S180" si="131">O186</f>
        <v>0</v>
      </c>
      <c r="P180" s="16">
        <f t="shared" si="131"/>
        <v>0</v>
      </c>
      <c r="Q180" s="16">
        <f t="shared" si="131"/>
        <v>0</v>
      </c>
      <c r="R180" s="16">
        <f t="shared" si="131"/>
        <v>0</v>
      </c>
      <c r="S180" s="16">
        <f t="shared" si="131"/>
        <v>0</v>
      </c>
      <c r="T180" s="12"/>
      <c r="U180" s="2"/>
    </row>
    <row r="181" spans="1:21" s="5" customFormat="1" ht="14.25" x14ac:dyDescent="0.2">
      <c r="A181" s="13">
        <v>171</v>
      </c>
      <c r="B181" s="14" t="s">
        <v>10</v>
      </c>
      <c r="C181" s="16">
        <f t="shared" si="130"/>
        <v>634317071.75000012</v>
      </c>
      <c r="D181" s="16">
        <f t="shared" si="127"/>
        <v>34612986.030000001</v>
      </c>
      <c r="E181" s="16">
        <f t="shared" si="127"/>
        <v>32352982.350000001</v>
      </c>
      <c r="F181" s="16">
        <f t="shared" si="127"/>
        <v>31232326.180000003</v>
      </c>
      <c r="G181" s="16">
        <f t="shared" si="127"/>
        <v>32917553.030000001</v>
      </c>
      <c r="H181" s="16">
        <f t="shared" si="127"/>
        <v>35896510.009999998</v>
      </c>
      <c r="I181" s="16">
        <f t="shared" si="127"/>
        <v>37669894.649999999</v>
      </c>
      <c r="J181" s="16">
        <f>J187</f>
        <v>36545157.230000004</v>
      </c>
      <c r="K181" s="16">
        <f t="shared" si="127"/>
        <v>39714686.420000002</v>
      </c>
      <c r="L181" s="16">
        <f t="shared" si="127"/>
        <v>38820049.329999998</v>
      </c>
      <c r="M181" s="16">
        <f>M187</f>
        <v>52770025.549999997</v>
      </c>
      <c r="N181" s="16">
        <f t="shared" si="127"/>
        <v>53478622.350000001</v>
      </c>
      <c r="O181" s="16">
        <f t="shared" ref="O181:S181" si="132">O187</f>
        <v>53096822.350000001</v>
      </c>
      <c r="P181" s="16">
        <f t="shared" si="132"/>
        <v>53096822.350000001</v>
      </c>
      <c r="Q181" s="16">
        <f t="shared" si="132"/>
        <v>34037544.640000001</v>
      </c>
      <c r="R181" s="16">
        <f t="shared" si="132"/>
        <v>34037544.640000001</v>
      </c>
      <c r="S181" s="16">
        <f t="shared" si="132"/>
        <v>34037544.640000001</v>
      </c>
      <c r="T181" s="12"/>
      <c r="U181" s="2"/>
    </row>
    <row r="182" spans="1:21" s="5" customFormat="1" ht="14.25" x14ac:dyDescent="0.2">
      <c r="A182" s="13">
        <v>172</v>
      </c>
      <c r="B182" s="14" t="s">
        <v>11</v>
      </c>
      <c r="C182" s="16">
        <f t="shared" si="130"/>
        <v>0</v>
      </c>
      <c r="D182" s="16">
        <f t="shared" si="127"/>
        <v>0</v>
      </c>
      <c r="E182" s="16">
        <f t="shared" si="127"/>
        <v>0</v>
      </c>
      <c r="F182" s="16">
        <f t="shared" si="127"/>
        <v>0</v>
      </c>
      <c r="G182" s="16">
        <f t="shared" si="127"/>
        <v>0</v>
      </c>
      <c r="H182" s="16">
        <f t="shared" si="127"/>
        <v>0</v>
      </c>
      <c r="I182" s="16">
        <f t="shared" si="127"/>
        <v>0</v>
      </c>
      <c r="J182" s="16">
        <f t="shared" si="127"/>
        <v>0</v>
      </c>
      <c r="K182" s="16">
        <f t="shared" si="127"/>
        <v>0</v>
      </c>
      <c r="L182" s="16">
        <f t="shared" si="127"/>
        <v>0</v>
      </c>
      <c r="M182" s="16">
        <f>M188</f>
        <v>0</v>
      </c>
      <c r="N182" s="16">
        <f t="shared" si="127"/>
        <v>0</v>
      </c>
      <c r="O182" s="16">
        <f t="shared" ref="O182:S182" si="133">O188</f>
        <v>0</v>
      </c>
      <c r="P182" s="16">
        <f t="shared" si="133"/>
        <v>0</v>
      </c>
      <c r="Q182" s="16">
        <f t="shared" si="133"/>
        <v>0</v>
      </c>
      <c r="R182" s="16">
        <f t="shared" si="133"/>
        <v>0</v>
      </c>
      <c r="S182" s="16">
        <f t="shared" si="133"/>
        <v>0</v>
      </c>
      <c r="T182" s="12"/>
      <c r="U182" s="2"/>
    </row>
    <row r="183" spans="1:21" s="5" customFormat="1" ht="15" x14ac:dyDescent="0.2">
      <c r="A183" s="13">
        <v>173</v>
      </c>
      <c r="B183" s="45" t="s">
        <v>21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2"/>
    </row>
    <row r="184" spans="1:21" s="5" customFormat="1" ht="35.25" customHeight="1" x14ac:dyDescent="0.2">
      <c r="A184" s="13">
        <v>174</v>
      </c>
      <c r="B184" s="9" t="s">
        <v>15</v>
      </c>
      <c r="C184" s="17">
        <f>SUM(D184:S184)</f>
        <v>635687272.3900001</v>
      </c>
      <c r="D184" s="17">
        <f t="shared" ref="D184:I184" si="134">SUM(D185:D188)</f>
        <v>34612986.030000001</v>
      </c>
      <c r="E184" s="17">
        <f t="shared" si="134"/>
        <v>32352982.350000001</v>
      </c>
      <c r="F184" s="17">
        <f t="shared" si="134"/>
        <v>31232326.180000003</v>
      </c>
      <c r="G184" s="17">
        <f t="shared" si="134"/>
        <v>32925553.030000001</v>
      </c>
      <c r="H184" s="17">
        <f t="shared" si="134"/>
        <v>35896510.009999998</v>
      </c>
      <c r="I184" s="17">
        <f t="shared" si="134"/>
        <v>37669894.649999999</v>
      </c>
      <c r="J184" s="17">
        <f t="shared" ref="J184:O184" si="135">SUM(J185:J188)</f>
        <v>36545157.230000004</v>
      </c>
      <c r="K184" s="17">
        <f t="shared" si="135"/>
        <v>39770791.93</v>
      </c>
      <c r="L184" s="17">
        <f t="shared" si="135"/>
        <v>39166951.309999995</v>
      </c>
      <c r="M184" s="17">
        <f t="shared" si="135"/>
        <v>53729218.699999996</v>
      </c>
      <c r="N184" s="17">
        <f t="shared" si="135"/>
        <v>53478622.350000001</v>
      </c>
      <c r="O184" s="17">
        <f t="shared" si="135"/>
        <v>53096822.350000001</v>
      </c>
      <c r="P184" s="17">
        <f t="shared" ref="P184:S184" si="136">SUM(P185:P188)</f>
        <v>53096822.350000001</v>
      </c>
      <c r="Q184" s="17">
        <f t="shared" si="136"/>
        <v>34037544.640000001</v>
      </c>
      <c r="R184" s="17">
        <f t="shared" si="136"/>
        <v>34037544.640000001</v>
      </c>
      <c r="S184" s="17">
        <f t="shared" si="136"/>
        <v>34037544.640000001</v>
      </c>
      <c r="T184" s="12"/>
      <c r="U184" s="2"/>
    </row>
    <row r="185" spans="1:21" s="5" customFormat="1" ht="14.25" x14ac:dyDescent="0.2">
      <c r="A185" s="13">
        <v>175</v>
      </c>
      <c r="B185" s="14" t="s">
        <v>8</v>
      </c>
      <c r="C185" s="16">
        <f>SUM(D185:S185)</f>
        <v>0</v>
      </c>
      <c r="D185" s="16">
        <f t="shared" ref="D185:S185" si="137">D190+D195</f>
        <v>0</v>
      </c>
      <c r="E185" s="16">
        <f t="shared" si="137"/>
        <v>0</v>
      </c>
      <c r="F185" s="16">
        <f t="shared" si="137"/>
        <v>0</v>
      </c>
      <c r="G185" s="16">
        <f t="shared" si="137"/>
        <v>0</v>
      </c>
      <c r="H185" s="16">
        <f t="shared" si="137"/>
        <v>0</v>
      </c>
      <c r="I185" s="16">
        <f t="shared" si="137"/>
        <v>0</v>
      </c>
      <c r="J185" s="16">
        <f t="shared" si="137"/>
        <v>0</v>
      </c>
      <c r="K185" s="16">
        <f t="shared" si="137"/>
        <v>0</v>
      </c>
      <c r="L185" s="16">
        <f t="shared" si="137"/>
        <v>0</v>
      </c>
      <c r="M185" s="16">
        <f t="shared" si="137"/>
        <v>0</v>
      </c>
      <c r="N185" s="16">
        <f t="shared" si="137"/>
        <v>0</v>
      </c>
      <c r="O185" s="16">
        <f t="shared" si="137"/>
        <v>0</v>
      </c>
      <c r="P185" s="16">
        <f t="shared" si="137"/>
        <v>0</v>
      </c>
      <c r="Q185" s="16">
        <f t="shared" si="137"/>
        <v>0</v>
      </c>
      <c r="R185" s="16">
        <f t="shared" si="137"/>
        <v>0</v>
      </c>
      <c r="S185" s="16">
        <f t="shared" si="137"/>
        <v>0</v>
      </c>
      <c r="T185" s="12"/>
      <c r="U185" s="2"/>
    </row>
    <row r="186" spans="1:21" s="5" customFormat="1" ht="14.25" x14ac:dyDescent="0.2">
      <c r="A186" s="13">
        <v>176</v>
      </c>
      <c r="B186" s="14" t="s">
        <v>9</v>
      </c>
      <c r="C186" s="16">
        <f t="shared" ref="C186:C188" si="138">SUM(D186:S186)</f>
        <v>1370200.6400000001</v>
      </c>
      <c r="D186" s="16">
        <f t="shared" ref="D186:I186" si="139">D191+D196</f>
        <v>0</v>
      </c>
      <c r="E186" s="16">
        <f t="shared" si="139"/>
        <v>0</v>
      </c>
      <c r="F186" s="16">
        <f t="shared" si="139"/>
        <v>0</v>
      </c>
      <c r="G186" s="16">
        <f t="shared" si="139"/>
        <v>8000</v>
      </c>
      <c r="H186" s="16">
        <f t="shared" si="139"/>
        <v>0</v>
      </c>
      <c r="I186" s="16">
        <f t="shared" si="139"/>
        <v>0</v>
      </c>
      <c r="J186" s="16">
        <f>J191+J196+J201+J207</f>
        <v>0</v>
      </c>
      <c r="K186" s="16">
        <f t="shared" ref="K186:S186" si="140">K191+K196</f>
        <v>56105.51</v>
      </c>
      <c r="L186" s="16">
        <f t="shared" si="140"/>
        <v>346901.98</v>
      </c>
      <c r="M186" s="16">
        <f t="shared" si="140"/>
        <v>959193.15</v>
      </c>
      <c r="N186" s="16">
        <f t="shared" si="140"/>
        <v>0</v>
      </c>
      <c r="O186" s="16">
        <f t="shared" si="140"/>
        <v>0</v>
      </c>
      <c r="P186" s="16">
        <f t="shared" si="140"/>
        <v>0</v>
      </c>
      <c r="Q186" s="16">
        <f t="shared" si="140"/>
        <v>0</v>
      </c>
      <c r="R186" s="16">
        <f t="shared" si="140"/>
        <v>0</v>
      </c>
      <c r="S186" s="16">
        <f t="shared" si="140"/>
        <v>0</v>
      </c>
      <c r="T186" s="12"/>
      <c r="U186" s="2"/>
    </row>
    <row r="187" spans="1:21" s="5" customFormat="1" ht="14.25" x14ac:dyDescent="0.2">
      <c r="A187" s="13">
        <v>177</v>
      </c>
      <c r="B187" s="14" t="s">
        <v>10</v>
      </c>
      <c r="C187" s="16">
        <f t="shared" si="138"/>
        <v>634317071.75000012</v>
      </c>
      <c r="D187" s="16">
        <f>D192+D197</f>
        <v>34612986.030000001</v>
      </c>
      <c r="E187" s="16">
        <f>E192+E197</f>
        <v>32352982.350000001</v>
      </c>
      <c r="F187" s="16">
        <f>F192+F197+F202</f>
        <v>31232326.180000003</v>
      </c>
      <c r="G187" s="16">
        <f>G192+G197+G202</f>
        <v>32917553.030000001</v>
      </c>
      <c r="H187" s="16">
        <f>H192+H197+H202</f>
        <v>35896510.009999998</v>
      </c>
      <c r="I187" s="16">
        <f>I192+I197+I202+I208</f>
        <v>37669894.649999999</v>
      </c>
      <c r="J187" s="16">
        <f>J192+J197+J202+J208</f>
        <v>36545157.230000004</v>
      </c>
      <c r="K187" s="16">
        <f t="shared" ref="K187:S187" si="141">K192+K197+K202+K208</f>
        <v>39714686.420000002</v>
      </c>
      <c r="L187" s="16">
        <f t="shared" si="141"/>
        <v>38820049.329999998</v>
      </c>
      <c r="M187" s="16">
        <f t="shared" si="141"/>
        <v>52770025.549999997</v>
      </c>
      <c r="N187" s="16">
        <f t="shared" si="141"/>
        <v>53478622.350000001</v>
      </c>
      <c r="O187" s="16">
        <f t="shared" si="141"/>
        <v>53096822.350000001</v>
      </c>
      <c r="P187" s="16">
        <f t="shared" si="141"/>
        <v>53096822.350000001</v>
      </c>
      <c r="Q187" s="16">
        <f t="shared" si="141"/>
        <v>34037544.640000001</v>
      </c>
      <c r="R187" s="16">
        <f t="shared" si="141"/>
        <v>34037544.640000001</v>
      </c>
      <c r="S187" s="16">
        <f t="shared" si="141"/>
        <v>34037544.640000001</v>
      </c>
      <c r="T187" s="12"/>
      <c r="U187" s="2"/>
    </row>
    <row r="188" spans="1:21" s="5" customFormat="1" ht="14.25" x14ac:dyDescent="0.2">
      <c r="A188" s="13">
        <v>178</v>
      </c>
      <c r="B188" s="14" t="s">
        <v>11</v>
      </c>
      <c r="C188" s="16">
        <f t="shared" si="138"/>
        <v>0</v>
      </c>
      <c r="D188" s="16">
        <f>D193+D198</f>
        <v>0</v>
      </c>
      <c r="E188" s="16">
        <f>E193+E198</f>
        <v>0</v>
      </c>
      <c r="F188" s="16">
        <f t="shared" ref="F188:S188" si="142">F193+F198</f>
        <v>0</v>
      </c>
      <c r="G188" s="16">
        <f t="shared" si="142"/>
        <v>0</v>
      </c>
      <c r="H188" s="16">
        <f t="shared" si="142"/>
        <v>0</v>
      </c>
      <c r="I188" s="16">
        <f t="shared" si="142"/>
        <v>0</v>
      </c>
      <c r="J188" s="16">
        <f t="shared" si="142"/>
        <v>0</v>
      </c>
      <c r="K188" s="16">
        <f t="shared" si="142"/>
        <v>0</v>
      </c>
      <c r="L188" s="16">
        <f t="shared" si="142"/>
        <v>0</v>
      </c>
      <c r="M188" s="16">
        <f t="shared" si="142"/>
        <v>0</v>
      </c>
      <c r="N188" s="16">
        <f t="shared" si="142"/>
        <v>0</v>
      </c>
      <c r="O188" s="16">
        <f t="shared" si="142"/>
        <v>0</v>
      </c>
      <c r="P188" s="16">
        <f t="shared" si="142"/>
        <v>0</v>
      </c>
      <c r="Q188" s="16">
        <f t="shared" si="142"/>
        <v>0</v>
      </c>
      <c r="R188" s="16">
        <f t="shared" si="142"/>
        <v>0</v>
      </c>
      <c r="S188" s="16">
        <f t="shared" si="142"/>
        <v>0</v>
      </c>
      <c r="T188" s="12"/>
      <c r="U188" s="2"/>
    </row>
    <row r="189" spans="1:21" s="5" customFormat="1" ht="78.75" customHeight="1" x14ac:dyDescent="0.2">
      <c r="A189" s="13">
        <v>179</v>
      </c>
      <c r="B189" s="18" t="s">
        <v>119</v>
      </c>
      <c r="C189" s="17">
        <f>SUM(D189:S189)</f>
        <v>93312771.940000013</v>
      </c>
      <c r="D189" s="17">
        <f t="shared" ref="D189:I189" si="143">SUM(D190:D193)</f>
        <v>4288376.21</v>
      </c>
      <c r="E189" s="10">
        <f t="shared" si="143"/>
        <v>4505349.6700000009</v>
      </c>
      <c r="F189" s="17">
        <f t="shared" si="143"/>
        <v>3811989.56</v>
      </c>
      <c r="G189" s="17">
        <f t="shared" si="143"/>
        <v>4845566.5500000007</v>
      </c>
      <c r="H189" s="17">
        <f t="shared" si="143"/>
        <v>5046757.84</v>
      </c>
      <c r="I189" s="17">
        <f t="shared" si="143"/>
        <v>4799815</v>
      </c>
      <c r="J189" s="17">
        <f t="shared" ref="J189:O189" si="144">SUM(J190:J193)</f>
        <v>4977946.67</v>
      </c>
      <c r="K189" s="17">
        <f t="shared" si="144"/>
        <v>5479542.8399999999</v>
      </c>
      <c r="L189" s="17">
        <f t="shared" si="144"/>
        <v>5534701.5599999996</v>
      </c>
      <c r="M189" s="17">
        <f t="shared" si="144"/>
        <v>8050456.4800000004</v>
      </c>
      <c r="N189" s="17">
        <f t="shared" si="144"/>
        <v>7967802.5700000003</v>
      </c>
      <c r="O189" s="17">
        <f t="shared" si="144"/>
        <v>7967802.5700000003</v>
      </c>
      <c r="P189" s="17">
        <f t="shared" ref="P189:S189" si="145">SUM(P190:P193)</f>
        <v>7967802.5700000003</v>
      </c>
      <c r="Q189" s="17">
        <f t="shared" si="145"/>
        <v>6022953.9500000002</v>
      </c>
      <c r="R189" s="17">
        <f t="shared" si="145"/>
        <v>6022953.9500000002</v>
      </c>
      <c r="S189" s="17">
        <f t="shared" si="145"/>
        <v>6022953.9500000002</v>
      </c>
      <c r="T189" s="8" t="s">
        <v>58</v>
      </c>
      <c r="U189" s="2"/>
    </row>
    <row r="190" spans="1:21" s="5" customFormat="1" ht="14.25" x14ac:dyDescent="0.2">
      <c r="A190" s="13">
        <v>180</v>
      </c>
      <c r="B190" s="14" t="s">
        <v>8</v>
      </c>
      <c r="C190" s="16">
        <f>SUM(D190:S190)</f>
        <v>0</v>
      </c>
      <c r="D190" s="16">
        <v>0</v>
      </c>
      <c r="E190" s="15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21"/>
      <c r="U190" s="2"/>
    </row>
    <row r="191" spans="1:21" s="5" customFormat="1" ht="14.25" x14ac:dyDescent="0.2">
      <c r="A191" s="13">
        <v>181</v>
      </c>
      <c r="B191" s="14" t="s">
        <v>9</v>
      </c>
      <c r="C191" s="16">
        <f t="shared" ref="C191:C193" si="146">SUM(D191:S191)</f>
        <v>219673.84</v>
      </c>
      <c r="D191" s="16">
        <v>0</v>
      </c>
      <c r="E191" s="15">
        <v>0</v>
      </c>
      <c r="F191" s="16">
        <v>0</v>
      </c>
      <c r="G191" s="16">
        <v>8000</v>
      </c>
      <c r="H191" s="16">
        <v>0</v>
      </c>
      <c r="I191" s="16">
        <v>0</v>
      </c>
      <c r="J191" s="16">
        <v>0</v>
      </c>
      <c r="K191" s="16">
        <v>0</v>
      </c>
      <c r="L191" s="16">
        <v>58695.47</v>
      </c>
      <c r="M191" s="16">
        <v>152978.37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21"/>
      <c r="U191" s="2"/>
    </row>
    <row r="192" spans="1:21" s="5" customFormat="1" ht="14.25" x14ac:dyDescent="0.2">
      <c r="A192" s="13">
        <v>182</v>
      </c>
      <c r="B192" s="14" t="s">
        <v>10</v>
      </c>
      <c r="C192" s="16">
        <f t="shared" si="146"/>
        <v>93093098.100000009</v>
      </c>
      <c r="D192" s="16">
        <v>4288376.21</v>
      </c>
      <c r="E192" s="29">
        <f>4141855.37+227951.94+135542.36</f>
        <v>4505349.6700000009</v>
      </c>
      <c r="F192" s="16">
        <f>3672941-432392.25+6000+565440.81-11722.75+800+10922.75</f>
        <v>3811989.56</v>
      </c>
      <c r="G192" s="16">
        <f>3672941+44575.93+1100189.62+224230.52+27860-8000-224230.52</f>
        <v>4837566.5500000007</v>
      </c>
      <c r="H192" s="16">
        <f>4527092+519665.84</f>
        <v>5046757.84</v>
      </c>
      <c r="I192" s="16">
        <f>4783815+16000</f>
        <v>4799815</v>
      </c>
      <c r="J192" s="16">
        <f>4783815+26103+173028.67-5000</f>
        <v>4977946.67</v>
      </c>
      <c r="K192" s="16">
        <v>5479542.8399999999</v>
      </c>
      <c r="L192" s="16">
        <v>5476006.0899999999</v>
      </c>
      <c r="M192" s="16">
        <v>7897478.1100000003</v>
      </c>
      <c r="N192" s="16">
        <v>7967802.5700000003</v>
      </c>
      <c r="O192" s="16">
        <v>7967802.5700000003</v>
      </c>
      <c r="P192" s="16">
        <v>7967802.5700000003</v>
      </c>
      <c r="Q192" s="16">
        <v>6022953.9500000002</v>
      </c>
      <c r="R192" s="16">
        <v>6022953.9500000002</v>
      </c>
      <c r="S192" s="16">
        <v>6022953.9500000002</v>
      </c>
      <c r="T192" s="21"/>
      <c r="U192" s="2"/>
    </row>
    <row r="193" spans="1:23" s="5" customFormat="1" ht="14.25" x14ac:dyDescent="0.2">
      <c r="A193" s="13">
        <v>183</v>
      </c>
      <c r="B193" s="14" t="s">
        <v>11</v>
      </c>
      <c r="C193" s="16">
        <f t="shared" si="146"/>
        <v>0</v>
      </c>
      <c r="D193" s="16">
        <v>0</v>
      </c>
      <c r="E193" s="15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21"/>
      <c r="U193" s="2"/>
    </row>
    <row r="194" spans="1:23" s="5" customFormat="1" ht="166.5" customHeight="1" x14ac:dyDescent="0.2">
      <c r="A194" s="13">
        <v>184</v>
      </c>
      <c r="B194" s="18" t="s">
        <v>120</v>
      </c>
      <c r="C194" s="17">
        <f>SUM(D194:S194)</f>
        <v>540050700.45000005</v>
      </c>
      <c r="D194" s="17">
        <f t="shared" ref="D194:I194" si="147">SUM(D195:D198)</f>
        <v>30324609.82</v>
      </c>
      <c r="E194" s="10">
        <f t="shared" si="147"/>
        <v>27847632.68</v>
      </c>
      <c r="F194" s="17">
        <f t="shared" si="147"/>
        <v>27345336.620000005</v>
      </c>
      <c r="G194" s="17">
        <f t="shared" si="147"/>
        <v>28004986.48</v>
      </c>
      <c r="H194" s="17">
        <f t="shared" si="147"/>
        <v>30774752.169999998</v>
      </c>
      <c r="I194" s="17">
        <f t="shared" si="147"/>
        <v>32795079.649999999</v>
      </c>
      <c r="J194" s="17">
        <f t="shared" ref="J194:O194" si="148">SUM(J195:J198)</f>
        <v>31492210.560000002</v>
      </c>
      <c r="K194" s="17">
        <f t="shared" si="148"/>
        <v>33836249.089999996</v>
      </c>
      <c r="L194" s="17">
        <f t="shared" si="148"/>
        <v>33482249.75</v>
      </c>
      <c r="M194" s="17">
        <f t="shared" si="148"/>
        <v>45528762.219999999</v>
      </c>
      <c r="N194" s="17">
        <f t="shared" si="148"/>
        <v>45067019.780000001</v>
      </c>
      <c r="O194" s="17">
        <f t="shared" si="148"/>
        <v>44979019.780000001</v>
      </c>
      <c r="P194" s="17">
        <f t="shared" ref="P194:S194" si="149">SUM(P195:P198)</f>
        <v>44979019.780000001</v>
      </c>
      <c r="Q194" s="17">
        <f t="shared" si="149"/>
        <v>27864590.690000001</v>
      </c>
      <c r="R194" s="17">
        <f t="shared" si="149"/>
        <v>27864590.690000001</v>
      </c>
      <c r="S194" s="17">
        <f t="shared" si="149"/>
        <v>27864590.690000001</v>
      </c>
      <c r="T194" s="8" t="s">
        <v>52</v>
      </c>
      <c r="U194" s="2"/>
    </row>
    <row r="195" spans="1:23" s="5" customFormat="1" ht="14.25" x14ac:dyDescent="0.2">
      <c r="A195" s="13">
        <v>185</v>
      </c>
      <c r="B195" s="14" t="s">
        <v>8</v>
      </c>
      <c r="C195" s="16">
        <f>SUM(D195:S195)</f>
        <v>0</v>
      </c>
      <c r="D195" s="16">
        <v>0</v>
      </c>
      <c r="E195" s="15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21"/>
      <c r="U195" s="2"/>
    </row>
    <row r="196" spans="1:23" s="5" customFormat="1" ht="14.25" x14ac:dyDescent="0.2">
      <c r="A196" s="13">
        <v>186</v>
      </c>
      <c r="B196" s="14" t="s">
        <v>9</v>
      </c>
      <c r="C196" s="16">
        <f t="shared" ref="C196:C198" si="150">SUM(D196:S196)</f>
        <v>1150526.8</v>
      </c>
      <c r="D196" s="16">
        <v>0</v>
      </c>
      <c r="E196" s="15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56105.51</v>
      </c>
      <c r="L196" s="16">
        <v>288206.51</v>
      </c>
      <c r="M196" s="16">
        <f>806214.78</f>
        <v>806214.78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21"/>
      <c r="U196" s="2"/>
    </row>
    <row r="197" spans="1:23" s="5" customFormat="1" ht="14.25" x14ac:dyDescent="0.2">
      <c r="A197" s="13">
        <v>187</v>
      </c>
      <c r="B197" s="14" t="s">
        <v>10</v>
      </c>
      <c r="C197" s="16">
        <f t="shared" si="150"/>
        <v>538900173.64999998</v>
      </c>
      <c r="D197" s="16">
        <v>30324609.82</v>
      </c>
      <c r="E197" s="29">
        <v>27847632.68</v>
      </c>
      <c r="F197" s="16">
        <f>27844480.78-503146.42+25160+4312.12+20827.1-41906.82+1500-1481.99-28395.4+34910-10922.75</f>
        <v>27345336.620000005</v>
      </c>
      <c r="G197" s="16">
        <f>24615681.31+2435036.54+438451.76+515816.87</f>
        <v>28004986.48</v>
      </c>
      <c r="H197" s="16">
        <f>24333343.38+249089.48+58894.64+2915.52+2194910.27+3935598.88</f>
        <v>30774752.169999998</v>
      </c>
      <c r="I197" s="16">
        <f>25611594.09+100000+7083485.56</f>
        <v>32795079.649999999</v>
      </c>
      <c r="J197" s="16">
        <f>25059461.53+4389054.07+104000+127959.14+28625.27+1778110.55+5000</f>
        <v>31492210.560000002</v>
      </c>
      <c r="K197" s="16">
        <v>33780143.579999998</v>
      </c>
      <c r="L197" s="16">
        <v>33194043.239999998</v>
      </c>
      <c r="M197" s="16">
        <v>44722547.439999998</v>
      </c>
      <c r="N197" s="16">
        <v>45067019.780000001</v>
      </c>
      <c r="O197" s="16">
        <v>44979019.780000001</v>
      </c>
      <c r="P197" s="16">
        <v>44979019.780000001</v>
      </c>
      <c r="Q197" s="16">
        <v>27864590.690000001</v>
      </c>
      <c r="R197" s="16">
        <v>27864590.690000001</v>
      </c>
      <c r="S197" s="16">
        <v>27864590.690000001</v>
      </c>
      <c r="T197" s="21"/>
      <c r="U197" s="2"/>
      <c r="V197" s="2"/>
      <c r="W197" s="2"/>
    </row>
    <row r="198" spans="1:23" s="5" customFormat="1" ht="14.25" x14ac:dyDescent="0.2">
      <c r="A198" s="13">
        <v>188</v>
      </c>
      <c r="B198" s="14" t="s">
        <v>11</v>
      </c>
      <c r="C198" s="16">
        <f t="shared" si="150"/>
        <v>0</v>
      </c>
      <c r="D198" s="16">
        <v>0</v>
      </c>
      <c r="E198" s="15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21"/>
      <c r="U198" s="2"/>
    </row>
    <row r="199" spans="1:23" s="5" customFormat="1" ht="106.5" customHeight="1" x14ac:dyDescent="0.2">
      <c r="A199" s="13">
        <v>189</v>
      </c>
      <c r="B199" s="18" t="s">
        <v>146</v>
      </c>
      <c r="C199" s="17">
        <f>SUM(D199:S199)</f>
        <v>1650000</v>
      </c>
      <c r="D199" s="17">
        <f t="shared" ref="D199:I199" si="151">D200+D201+D202+D203</f>
        <v>0</v>
      </c>
      <c r="E199" s="17">
        <f t="shared" si="151"/>
        <v>0</v>
      </c>
      <c r="F199" s="17">
        <f t="shared" si="151"/>
        <v>75000</v>
      </c>
      <c r="G199" s="17">
        <f t="shared" si="151"/>
        <v>75000</v>
      </c>
      <c r="H199" s="17">
        <f t="shared" si="151"/>
        <v>75000</v>
      </c>
      <c r="I199" s="17">
        <f t="shared" si="151"/>
        <v>75000</v>
      </c>
      <c r="J199" s="17">
        <f t="shared" ref="J199:O199" si="152">J200+J201+J202+J203</f>
        <v>75000</v>
      </c>
      <c r="K199" s="17">
        <f t="shared" si="152"/>
        <v>75000</v>
      </c>
      <c r="L199" s="17">
        <f t="shared" si="152"/>
        <v>150000</v>
      </c>
      <c r="M199" s="17">
        <f t="shared" si="152"/>
        <v>150000</v>
      </c>
      <c r="N199" s="17">
        <f t="shared" si="152"/>
        <v>150000</v>
      </c>
      <c r="O199" s="17">
        <f t="shared" si="152"/>
        <v>150000</v>
      </c>
      <c r="P199" s="17">
        <f t="shared" ref="P199:S199" si="153">P200+P201+P202+P203</f>
        <v>150000</v>
      </c>
      <c r="Q199" s="17">
        <f t="shared" si="153"/>
        <v>150000</v>
      </c>
      <c r="R199" s="17">
        <f t="shared" si="153"/>
        <v>150000</v>
      </c>
      <c r="S199" s="17">
        <f t="shared" si="153"/>
        <v>150000</v>
      </c>
      <c r="T199" s="8" t="s">
        <v>53</v>
      </c>
      <c r="U199" s="2"/>
    </row>
    <row r="200" spans="1:23" s="5" customFormat="1" ht="14.25" x14ac:dyDescent="0.2">
      <c r="A200" s="13">
        <v>190</v>
      </c>
      <c r="B200" s="14" t="s">
        <v>8</v>
      </c>
      <c r="C200" s="16">
        <f>SUM(D200:S200)</f>
        <v>0</v>
      </c>
      <c r="D200" s="16">
        <v>0</v>
      </c>
      <c r="E200" s="15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21"/>
      <c r="U200" s="2"/>
    </row>
    <row r="201" spans="1:23" s="5" customFormat="1" ht="14.25" x14ac:dyDescent="0.2">
      <c r="A201" s="13">
        <v>191</v>
      </c>
      <c r="B201" s="14" t="s">
        <v>9</v>
      </c>
      <c r="C201" s="16">
        <f t="shared" ref="C201:C203" si="154">SUM(D201:S201)</f>
        <v>0</v>
      </c>
      <c r="D201" s="16">
        <v>0</v>
      </c>
      <c r="E201" s="15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21"/>
      <c r="U201" s="2"/>
    </row>
    <row r="202" spans="1:23" s="5" customFormat="1" ht="14.25" x14ac:dyDescent="0.2">
      <c r="A202" s="13">
        <v>192</v>
      </c>
      <c r="B202" s="14" t="s">
        <v>10</v>
      </c>
      <c r="C202" s="16">
        <f t="shared" si="154"/>
        <v>1650000</v>
      </c>
      <c r="D202" s="16">
        <v>0</v>
      </c>
      <c r="E202" s="15">
        <v>0</v>
      </c>
      <c r="F202" s="16">
        <v>75000</v>
      </c>
      <c r="G202" s="16">
        <v>75000</v>
      </c>
      <c r="H202" s="16">
        <v>75000</v>
      </c>
      <c r="I202" s="16">
        <v>75000</v>
      </c>
      <c r="J202" s="16">
        <v>75000</v>
      </c>
      <c r="K202" s="16">
        <v>75000</v>
      </c>
      <c r="L202" s="16">
        <f>50000+100000</f>
        <v>150000</v>
      </c>
      <c r="M202" s="16">
        <f>50000+100000</f>
        <v>150000</v>
      </c>
      <c r="N202" s="16">
        <f>50000+100000</f>
        <v>150000</v>
      </c>
      <c r="O202" s="16">
        <f>50000+100000</f>
        <v>150000</v>
      </c>
      <c r="P202" s="16">
        <f t="shared" ref="P202:S202" si="155">50000+100000</f>
        <v>150000</v>
      </c>
      <c r="Q202" s="16">
        <f t="shared" si="155"/>
        <v>150000</v>
      </c>
      <c r="R202" s="16">
        <f t="shared" si="155"/>
        <v>150000</v>
      </c>
      <c r="S202" s="16">
        <f t="shared" si="155"/>
        <v>150000</v>
      </c>
      <c r="T202" s="21"/>
      <c r="U202" s="2"/>
    </row>
    <row r="203" spans="1:23" s="5" customFormat="1" ht="14.25" x14ac:dyDescent="0.2">
      <c r="A203" s="13">
        <v>193</v>
      </c>
      <c r="B203" s="14" t="s">
        <v>11</v>
      </c>
      <c r="C203" s="16">
        <f t="shared" si="154"/>
        <v>0</v>
      </c>
      <c r="D203" s="16">
        <v>0</v>
      </c>
      <c r="E203" s="15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21"/>
      <c r="U203" s="2"/>
    </row>
    <row r="204" spans="1:23" s="42" customFormat="1" x14ac:dyDescent="0.2">
      <c r="A204" s="43">
        <v>1</v>
      </c>
      <c r="B204" s="43">
        <v>2</v>
      </c>
      <c r="C204" s="43">
        <v>3</v>
      </c>
      <c r="D204" s="43">
        <v>4</v>
      </c>
      <c r="E204" s="43">
        <v>5</v>
      </c>
      <c r="F204" s="43">
        <v>6</v>
      </c>
      <c r="G204" s="43">
        <v>7</v>
      </c>
      <c r="H204" s="43">
        <v>8</v>
      </c>
      <c r="I204" s="43">
        <v>9</v>
      </c>
      <c r="J204" s="43">
        <v>10</v>
      </c>
      <c r="K204" s="43">
        <v>11</v>
      </c>
      <c r="L204" s="43">
        <v>12</v>
      </c>
      <c r="M204" s="43">
        <v>13</v>
      </c>
      <c r="N204" s="43">
        <v>14</v>
      </c>
      <c r="O204" s="43">
        <v>15</v>
      </c>
      <c r="P204" s="43">
        <v>16</v>
      </c>
      <c r="Q204" s="43">
        <v>17</v>
      </c>
      <c r="R204" s="43">
        <v>18</v>
      </c>
      <c r="S204" s="43">
        <v>19</v>
      </c>
      <c r="T204" s="43">
        <v>20</v>
      </c>
      <c r="U204" s="2"/>
    </row>
    <row r="205" spans="1:23" s="5" customFormat="1" ht="195" customHeight="1" x14ac:dyDescent="0.2">
      <c r="A205" s="13">
        <v>194</v>
      </c>
      <c r="B205" s="18" t="s">
        <v>147</v>
      </c>
      <c r="C205" s="17">
        <f>SUM(D205:S205)</f>
        <v>673800</v>
      </c>
      <c r="D205" s="17">
        <f>D206+D207+D208+D209</f>
        <v>0</v>
      </c>
      <c r="E205" s="17">
        <f t="shared" ref="E205:N205" si="156">E206+E207+E208+E209</f>
        <v>0</v>
      </c>
      <c r="F205" s="17">
        <f t="shared" si="156"/>
        <v>0</v>
      </c>
      <c r="G205" s="17">
        <f t="shared" si="156"/>
        <v>0</v>
      </c>
      <c r="H205" s="17">
        <f t="shared" si="156"/>
        <v>0</v>
      </c>
      <c r="I205" s="17">
        <f t="shared" si="156"/>
        <v>0</v>
      </c>
      <c r="J205" s="17">
        <f t="shared" si="156"/>
        <v>0</v>
      </c>
      <c r="K205" s="17">
        <f t="shared" si="156"/>
        <v>380000</v>
      </c>
      <c r="L205" s="17">
        <f t="shared" si="156"/>
        <v>0</v>
      </c>
      <c r="M205" s="17">
        <f>M206+M207+M208+M209</f>
        <v>0</v>
      </c>
      <c r="N205" s="17">
        <f t="shared" si="156"/>
        <v>293800</v>
      </c>
      <c r="O205" s="17">
        <f t="shared" ref="O205:S205" si="157">O206+O207+O208+O209</f>
        <v>0</v>
      </c>
      <c r="P205" s="17">
        <f t="shared" si="157"/>
        <v>0</v>
      </c>
      <c r="Q205" s="17">
        <f t="shared" si="157"/>
        <v>0</v>
      </c>
      <c r="R205" s="17">
        <f t="shared" si="157"/>
        <v>0</v>
      </c>
      <c r="S205" s="17">
        <f t="shared" si="157"/>
        <v>0</v>
      </c>
      <c r="T205" s="8" t="s">
        <v>76</v>
      </c>
      <c r="U205" s="2"/>
    </row>
    <row r="206" spans="1:23" s="5" customFormat="1" ht="14.25" x14ac:dyDescent="0.2">
      <c r="A206" s="13">
        <v>195</v>
      </c>
      <c r="B206" s="14" t="s">
        <v>8</v>
      </c>
      <c r="C206" s="16">
        <f>SUM(D206:S206)</f>
        <v>0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21"/>
      <c r="U206" s="2"/>
    </row>
    <row r="207" spans="1:23" s="5" customFormat="1" ht="14.25" x14ac:dyDescent="0.2">
      <c r="A207" s="13">
        <v>196</v>
      </c>
      <c r="B207" s="14" t="s">
        <v>9</v>
      </c>
      <c r="C207" s="16">
        <f t="shared" ref="C207:C209" si="158">SUM(D207:S207)</f>
        <v>0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21"/>
      <c r="U207" s="2"/>
    </row>
    <row r="208" spans="1:23" s="5" customFormat="1" ht="14.25" x14ac:dyDescent="0.2">
      <c r="A208" s="13">
        <v>197</v>
      </c>
      <c r="B208" s="14" t="s">
        <v>10</v>
      </c>
      <c r="C208" s="16">
        <f t="shared" si="158"/>
        <v>673800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f>240000-240000</f>
        <v>0</v>
      </c>
      <c r="K208" s="16">
        <v>380000</v>
      </c>
      <c r="L208" s="16">
        <v>0</v>
      </c>
      <c r="M208" s="16">
        <v>0</v>
      </c>
      <c r="N208" s="16">
        <v>293800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21"/>
      <c r="U208" s="2"/>
    </row>
    <row r="209" spans="1:21" s="5" customFormat="1" ht="14.25" x14ac:dyDescent="0.2">
      <c r="A209" s="13">
        <v>198</v>
      </c>
      <c r="B209" s="14" t="s">
        <v>11</v>
      </c>
      <c r="C209" s="16">
        <f t="shared" si="158"/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21"/>
      <c r="U209" s="2"/>
    </row>
    <row r="210" spans="1:21" s="5" customFormat="1" ht="37.5" customHeight="1" x14ac:dyDescent="0.2">
      <c r="A210" s="13">
        <v>199</v>
      </c>
      <c r="B210" s="48" t="s">
        <v>156</v>
      </c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2"/>
    </row>
    <row r="211" spans="1:21" s="5" customFormat="1" ht="42.75" x14ac:dyDescent="0.2">
      <c r="A211" s="13">
        <v>200</v>
      </c>
      <c r="B211" s="9" t="s">
        <v>40</v>
      </c>
      <c r="C211" s="17">
        <f>SUM(D211:S211)</f>
        <v>165578098.10000005</v>
      </c>
      <c r="D211" s="17">
        <f t="shared" ref="D211:N215" si="159">D217</f>
        <v>2446005.34</v>
      </c>
      <c r="E211" s="17">
        <f t="shared" si="159"/>
        <v>4304663.7200000007</v>
      </c>
      <c r="F211" s="17">
        <f t="shared" si="159"/>
        <v>6499460.5199999996</v>
      </c>
      <c r="G211" s="17">
        <f t="shared" si="159"/>
        <v>5909996.3399999999</v>
      </c>
      <c r="H211" s="17">
        <f t="shared" si="159"/>
        <v>42200441.079999998</v>
      </c>
      <c r="I211" s="17">
        <f t="shared" si="159"/>
        <v>34452102.680000007</v>
      </c>
      <c r="J211" s="17">
        <f t="shared" si="159"/>
        <v>8654624.4100000001</v>
      </c>
      <c r="K211" s="17">
        <f t="shared" si="159"/>
        <v>17510149.050000001</v>
      </c>
      <c r="L211" s="17">
        <f t="shared" si="159"/>
        <v>18818980.09</v>
      </c>
      <c r="M211" s="17">
        <f t="shared" si="159"/>
        <v>16643808.25</v>
      </c>
      <c r="N211" s="17">
        <f t="shared" si="159"/>
        <v>3623824.33</v>
      </c>
      <c r="O211" s="17">
        <f t="shared" ref="O211:S211" si="160">O217</f>
        <v>286600</v>
      </c>
      <c r="P211" s="17">
        <f t="shared" si="160"/>
        <v>1243659.3</v>
      </c>
      <c r="Q211" s="17">
        <f t="shared" si="160"/>
        <v>994594.33</v>
      </c>
      <c r="R211" s="17">
        <f t="shared" si="160"/>
        <v>994594.33</v>
      </c>
      <c r="S211" s="17">
        <f t="shared" si="160"/>
        <v>994594.33</v>
      </c>
      <c r="T211" s="12"/>
      <c r="U211" s="2"/>
    </row>
    <row r="212" spans="1:21" s="5" customFormat="1" ht="14.25" x14ac:dyDescent="0.2">
      <c r="A212" s="13">
        <v>201</v>
      </c>
      <c r="B212" s="14" t="s">
        <v>8</v>
      </c>
      <c r="C212" s="16">
        <f>SUM(D212:S212)</f>
        <v>0</v>
      </c>
      <c r="D212" s="16">
        <f t="shared" si="159"/>
        <v>0</v>
      </c>
      <c r="E212" s="16">
        <f t="shared" si="159"/>
        <v>0</v>
      </c>
      <c r="F212" s="16">
        <f t="shared" si="159"/>
        <v>0</v>
      </c>
      <c r="G212" s="16">
        <f t="shared" si="159"/>
        <v>0</v>
      </c>
      <c r="H212" s="16">
        <f t="shared" si="159"/>
        <v>0</v>
      </c>
      <c r="I212" s="16">
        <f t="shared" si="159"/>
        <v>0</v>
      </c>
      <c r="J212" s="16">
        <f t="shared" si="159"/>
        <v>0</v>
      </c>
      <c r="K212" s="16">
        <f t="shared" si="159"/>
        <v>0</v>
      </c>
      <c r="L212" s="16">
        <f t="shared" si="159"/>
        <v>0</v>
      </c>
      <c r="M212" s="16">
        <f t="shared" si="159"/>
        <v>0</v>
      </c>
      <c r="N212" s="16">
        <f t="shared" si="159"/>
        <v>0</v>
      </c>
      <c r="O212" s="16">
        <f t="shared" ref="O212:S212" si="161">O218</f>
        <v>0</v>
      </c>
      <c r="P212" s="16">
        <f t="shared" si="161"/>
        <v>0</v>
      </c>
      <c r="Q212" s="16">
        <f t="shared" si="161"/>
        <v>0</v>
      </c>
      <c r="R212" s="16">
        <f t="shared" si="161"/>
        <v>0</v>
      </c>
      <c r="S212" s="16">
        <f t="shared" si="161"/>
        <v>0</v>
      </c>
      <c r="T212" s="12"/>
      <c r="U212" s="2"/>
    </row>
    <row r="213" spans="1:21" s="5" customFormat="1" ht="14.25" x14ac:dyDescent="0.2">
      <c r="A213" s="13">
        <v>202</v>
      </c>
      <c r="B213" s="14" t="s">
        <v>9</v>
      </c>
      <c r="C213" s="16">
        <f t="shared" ref="C213:C215" si="162">SUM(D213:S213)</f>
        <v>10770479.66</v>
      </c>
      <c r="D213" s="16">
        <f t="shared" si="159"/>
        <v>0</v>
      </c>
      <c r="E213" s="16">
        <f t="shared" si="159"/>
        <v>0</v>
      </c>
      <c r="F213" s="16">
        <f t="shared" si="159"/>
        <v>411466.26</v>
      </c>
      <c r="G213" s="16">
        <f t="shared" si="159"/>
        <v>1371896.8000000003</v>
      </c>
      <c r="H213" s="16">
        <f t="shared" si="159"/>
        <v>0</v>
      </c>
      <c r="I213" s="16">
        <f t="shared" si="159"/>
        <v>8682400</v>
      </c>
      <c r="J213" s="16">
        <f t="shared" si="159"/>
        <v>0</v>
      </c>
      <c r="K213" s="16">
        <f t="shared" si="159"/>
        <v>0</v>
      </c>
      <c r="L213" s="16">
        <f t="shared" si="159"/>
        <v>304716.59999999998</v>
      </c>
      <c r="M213" s="16">
        <f t="shared" si="159"/>
        <v>0</v>
      </c>
      <c r="N213" s="16">
        <f t="shared" si="159"/>
        <v>0</v>
      </c>
      <c r="O213" s="16">
        <f t="shared" ref="O213:S213" si="163">O219</f>
        <v>0</v>
      </c>
      <c r="P213" s="16">
        <f t="shared" si="163"/>
        <v>0</v>
      </c>
      <c r="Q213" s="16">
        <f t="shared" si="163"/>
        <v>0</v>
      </c>
      <c r="R213" s="16">
        <f t="shared" si="163"/>
        <v>0</v>
      </c>
      <c r="S213" s="16">
        <f t="shared" si="163"/>
        <v>0</v>
      </c>
      <c r="T213" s="12"/>
      <c r="U213" s="2"/>
    </row>
    <row r="214" spans="1:21" s="5" customFormat="1" ht="14.25" x14ac:dyDescent="0.2">
      <c r="A214" s="13">
        <v>203</v>
      </c>
      <c r="B214" s="14" t="s">
        <v>10</v>
      </c>
      <c r="C214" s="16">
        <f t="shared" si="162"/>
        <v>154807618.44000006</v>
      </c>
      <c r="D214" s="16">
        <f t="shared" si="159"/>
        <v>2446005.34</v>
      </c>
      <c r="E214" s="16">
        <f t="shared" si="159"/>
        <v>4304663.7200000007</v>
      </c>
      <c r="F214" s="16">
        <f>F220</f>
        <v>6087994.2599999998</v>
      </c>
      <c r="G214" s="16">
        <f>G220</f>
        <v>4538099.54</v>
      </c>
      <c r="H214" s="16">
        <f t="shared" si="159"/>
        <v>42200441.079999998</v>
      </c>
      <c r="I214" s="16">
        <f t="shared" si="159"/>
        <v>25769702.680000003</v>
      </c>
      <c r="J214" s="16">
        <f t="shared" si="159"/>
        <v>8654624.4100000001</v>
      </c>
      <c r="K214" s="16">
        <f t="shared" si="159"/>
        <v>17510149.050000001</v>
      </c>
      <c r="L214" s="16">
        <f t="shared" si="159"/>
        <v>18514263.489999998</v>
      </c>
      <c r="M214" s="16">
        <f t="shared" si="159"/>
        <v>16643808.25</v>
      </c>
      <c r="N214" s="16">
        <f t="shared" si="159"/>
        <v>3623824.33</v>
      </c>
      <c r="O214" s="16">
        <f t="shared" ref="O214:S214" si="164">O220</f>
        <v>286600</v>
      </c>
      <c r="P214" s="16">
        <f t="shared" si="164"/>
        <v>1243659.3</v>
      </c>
      <c r="Q214" s="16">
        <f t="shared" si="164"/>
        <v>994594.33</v>
      </c>
      <c r="R214" s="16">
        <f t="shared" si="164"/>
        <v>994594.33</v>
      </c>
      <c r="S214" s="16">
        <f t="shared" si="164"/>
        <v>994594.33</v>
      </c>
      <c r="T214" s="12"/>
      <c r="U214" s="2"/>
    </row>
    <row r="215" spans="1:21" s="5" customFormat="1" ht="14.25" x14ac:dyDescent="0.2">
      <c r="A215" s="13">
        <v>204</v>
      </c>
      <c r="B215" s="14" t="s">
        <v>11</v>
      </c>
      <c r="C215" s="16">
        <f t="shared" si="162"/>
        <v>0</v>
      </c>
      <c r="D215" s="16">
        <f t="shared" si="159"/>
        <v>0</v>
      </c>
      <c r="E215" s="16">
        <f t="shared" si="159"/>
        <v>0</v>
      </c>
      <c r="F215" s="16">
        <f t="shared" si="159"/>
        <v>0</v>
      </c>
      <c r="G215" s="16">
        <f t="shared" si="159"/>
        <v>0</v>
      </c>
      <c r="H215" s="16">
        <f t="shared" si="159"/>
        <v>0</v>
      </c>
      <c r="I215" s="16">
        <f t="shared" si="159"/>
        <v>0</v>
      </c>
      <c r="J215" s="16">
        <f t="shared" si="159"/>
        <v>0</v>
      </c>
      <c r="K215" s="16">
        <f t="shared" si="159"/>
        <v>0</v>
      </c>
      <c r="L215" s="16">
        <f t="shared" si="159"/>
        <v>0</v>
      </c>
      <c r="M215" s="16">
        <f t="shared" si="159"/>
        <v>0</v>
      </c>
      <c r="N215" s="16">
        <f t="shared" si="159"/>
        <v>0</v>
      </c>
      <c r="O215" s="16">
        <f t="shared" ref="O215:S215" si="165">O221</f>
        <v>0</v>
      </c>
      <c r="P215" s="16">
        <f t="shared" si="165"/>
        <v>0</v>
      </c>
      <c r="Q215" s="16">
        <f t="shared" si="165"/>
        <v>0</v>
      </c>
      <c r="R215" s="16">
        <f t="shared" si="165"/>
        <v>0</v>
      </c>
      <c r="S215" s="16">
        <f t="shared" si="165"/>
        <v>0</v>
      </c>
      <c r="T215" s="12"/>
      <c r="U215" s="2"/>
    </row>
    <row r="216" spans="1:21" s="5" customFormat="1" ht="15" x14ac:dyDescent="0.2">
      <c r="A216" s="13">
        <v>205</v>
      </c>
      <c r="B216" s="45" t="s">
        <v>14</v>
      </c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2"/>
    </row>
    <row r="217" spans="1:21" s="5" customFormat="1" ht="31.5" customHeight="1" x14ac:dyDescent="0.2">
      <c r="A217" s="13">
        <v>206</v>
      </c>
      <c r="B217" s="9" t="s">
        <v>22</v>
      </c>
      <c r="C217" s="17">
        <f>SUM(D217:S217)</f>
        <v>165578098.10000005</v>
      </c>
      <c r="D217" s="16">
        <f t="shared" ref="D217:I217" si="166">SUM(D218:D221)</f>
        <v>2446005.34</v>
      </c>
      <c r="E217" s="16">
        <f t="shared" si="166"/>
        <v>4304663.7200000007</v>
      </c>
      <c r="F217" s="16">
        <f t="shared" si="166"/>
        <v>6499460.5199999996</v>
      </c>
      <c r="G217" s="16">
        <f t="shared" si="166"/>
        <v>5909996.3399999999</v>
      </c>
      <c r="H217" s="16">
        <f t="shared" si="166"/>
        <v>42200441.079999998</v>
      </c>
      <c r="I217" s="16">
        <f t="shared" si="166"/>
        <v>34452102.680000007</v>
      </c>
      <c r="J217" s="16">
        <f t="shared" ref="J217:O217" si="167">SUM(J218:J221)</f>
        <v>8654624.4100000001</v>
      </c>
      <c r="K217" s="16">
        <f t="shared" si="167"/>
        <v>17510149.050000001</v>
      </c>
      <c r="L217" s="16">
        <f t="shared" si="167"/>
        <v>18818980.09</v>
      </c>
      <c r="M217" s="16">
        <f t="shared" si="167"/>
        <v>16643808.25</v>
      </c>
      <c r="N217" s="16">
        <f t="shared" si="167"/>
        <v>3623824.33</v>
      </c>
      <c r="O217" s="16">
        <f t="shared" si="167"/>
        <v>286600</v>
      </c>
      <c r="P217" s="16">
        <f t="shared" ref="P217:S217" si="168">SUM(P218:P221)</f>
        <v>1243659.3</v>
      </c>
      <c r="Q217" s="16">
        <f t="shared" si="168"/>
        <v>994594.33</v>
      </c>
      <c r="R217" s="16">
        <f t="shared" si="168"/>
        <v>994594.33</v>
      </c>
      <c r="S217" s="16">
        <f t="shared" si="168"/>
        <v>994594.33</v>
      </c>
      <c r="T217" s="21"/>
      <c r="U217" s="2"/>
    </row>
    <row r="218" spans="1:21" s="5" customFormat="1" ht="14.25" x14ac:dyDescent="0.2">
      <c r="A218" s="13">
        <v>207</v>
      </c>
      <c r="B218" s="14" t="s">
        <v>8</v>
      </c>
      <c r="C218" s="16">
        <f>SUM(D218:S218)</f>
        <v>0</v>
      </c>
      <c r="D218" s="16">
        <f t="shared" ref="D218:S218" si="169">D223+D228+D233+D238+D243+D248+D254+D264+D269</f>
        <v>0</v>
      </c>
      <c r="E218" s="16">
        <f t="shared" si="169"/>
        <v>0</v>
      </c>
      <c r="F218" s="16">
        <f t="shared" si="169"/>
        <v>0</v>
      </c>
      <c r="G218" s="16">
        <f t="shared" si="169"/>
        <v>0</v>
      </c>
      <c r="H218" s="16">
        <f t="shared" si="169"/>
        <v>0</v>
      </c>
      <c r="I218" s="16">
        <f t="shared" si="169"/>
        <v>0</v>
      </c>
      <c r="J218" s="16">
        <f t="shared" si="169"/>
        <v>0</v>
      </c>
      <c r="K218" s="16">
        <f t="shared" si="169"/>
        <v>0</v>
      </c>
      <c r="L218" s="16">
        <f t="shared" si="169"/>
        <v>0</v>
      </c>
      <c r="M218" s="16">
        <f t="shared" si="169"/>
        <v>0</v>
      </c>
      <c r="N218" s="16">
        <f t="shared" si="169"/>
        <v>0</v>
      </c>
      <c r="O218" s="16">
        <f t="shared" si="169"/>
        <v>0</v>
      </c>
      <c r="P218" s="16">
        <f t="shared" si="169"/>
        <v>0</v>
      </c>
      <c r="Q218" s="16">
        <f t="shared" si="169"/>
        <v>0</v>
      </c>
      <c r="R218" s="16">
        <f t="shared" si="169"/>
        <v>0</v>
      </c>
      <c r="S218" s="16">
        <f t="shared" si="169"/>
        <v>0</v>
      </c>
      <c r="T218" s="21"/>
      <c r="U218" s="2"/>
    </row>
    <row r="219" spans="1:21" s="5" customFormat="1" ht="14.25" x14ac:dyDescent="0.2">
      <c r="A219" s="13">
        <v>208</v>
      </c>
      <c r="B219" s="14" t="s">
        <v>9</v>
      </c>
      <c r="C219" s="16">
        <f t="shared" ref="C219:C221" si="170">SUM(D219:S219)</f>
        <v>10770479.66</v>
      </c>
      <c r="D219" s="16">
        <f>D224+D229+D234+D239+D244+D249+D255+D265+D270</f>
        <v>0</v>
      </c>
      <c r="E219" s="16">
        <f>E224+E229+E234+E239+E244+E249+E255+E265+E270</f>
        <v>0</v>
      </c>
      <c r="F219" s="16">
        <f>F224+F229+F234+F239+F244+F249+F255+F265+F270</f>
        <v>411466.26</v>
      </c>
      <c r="G219" s="16">
        <f>G224+G229+G234+G239+G244+G249+G255+G265+G270</f>
        <v>1371896.8000000003</v>
      </c>
      <c r="H219" s="16">
        <f>H224+H229+H234+H239+H244+H249+H255+H265+H270</f>
        <v>0</v>
      </c>
      <c r="I219" s="16">
        <f>I224+I229+I234+I239+I244+I249+I255+I265+I270+I285</f>
        <v>8682400</v>
      </c>
      <c r="J219" s="16">
        <f t="shared" ref="J219:S219" si="171">J224+J229+J234+J239+J244+J249+J255+J265+J270+J280+J285</f>
        <v>0</v>
      </c>
      <c r="K219" s="16">
        <f t="shared" si="171"/>
        <v>0</v>
      </c>
      <c r="L219" s="16">
        <f t="shared" si="171"/>
        <v>304716.59999999998</v>
      </c>
      <c r="M219" s="16">
        <f t="shared" si="171"/>
        <v>0</v>
      </c>
      <c r="N219" s="16">
        <f t="shared" si="171"/>
        <v>0</v>
      </c>
      <c r="O219" s="16">
        <f t="shared" si="171"/>
        <v>0</v>
      </c>
      <c r="P219" s="16">
        <f t="shared" si="171"/>
        <v>0</v>
      </c>
      <c r="Q219" s="16">
        <f t="shared" si="171"/>
        <v>0</v>
      </c>
      <c r="R219" s="16">
        <f t="shared" si="171"/>
        <v>0</v>
      </c>
      <c r="S219" s="16">
        <f t="shared" si="171"/>
        <v>0</v>
      </c>
      <c r="T219" s="21"/>
      <c r="U219" s="2"/>
    </row>
    <row r="220" spans="1:21" s="5" customFormat="1" ht="14.25" x14ac:dyDescent="0.2">
      <c r="A220" s="13">
        <v>209</v>
      </c>
      <c r="B220" s="14" t="s">
        <v>10</v>
      </c>
      <c r="C220" s="16">
        <f t="shared" si="170"/>
        <v>154807618.44000006</v>
      </c>
      <c r="D220" s="16">
        <f>D225+D230+D235+D240+D245+D250+D256+D266+D271</f>
        <v>2446005.34</v>
      </c>
      <c r="E220" s="16">
        <f>E225+E230+E235+E240+E245+E250+E256+E266+E271</f>
        <v>4304663.7200000007</v>
      </c>
      <c r="F220" s="16">
        <f>F225+F230+F235+F240+F245+F250+F256+F266+F271</f>
        <v>6087994.2599999998</v>
      </c>
      <c r="G220" s="16">
        <f>G225+G230+G235+G240+G245+G250+G256+G266+G271</f>
        <v>4538099.54</v>
      </c>
      <c r="H220" s="16">
        <f>H225+H230+H235+H240+H245+H250+H256+H266+H271+H281</f>
        <v>42200441.079999998</v>
      </c>
      <c r="I220" s="16">
        <f>I225+I230+I235+I240+I245+I250+I256+I266+I271+I281</f>
        <v>25769702.680000003</v>
      </c>
      <c r="J220" s="16">
        <f>J2065+J230+J235+J240+J245+J250+J256+J266+J271+J281+J286</f>
        <v>8654624.4100000001</v>
      </c>
      <c r="K220" s="16">
        <f>K2065+K230+K235+K240+K245+K250+K256+K266+K271+K281+K286</f>
        <v>17510149.050000001</v>
      </c>
      <c r="L220" s="16">
        <f>L2065+L230+L235+L240+L245+L250+L256+L266+L271+L281+L286+L225</f>
        <v>18514263.489999998</v>
      </c>
      <c r="M220" s="16">
        <f t="shared" ref="M220:S220" si="172">M2065+M230+M235+M240+M245+M250+M256+M266+M271+M281+M286</f>
        <v>16643808.25</v>
      </c>
      <c r="N220" s="16">
        <f t="shared" si="172"/>
        <v>3623824.33</v>
      </c>
      <c r="O220" s="16">
        <f t="shared" si="172"/>
        <v>286600</v>
      </c>
      <c r="P220" s="16">
        <f t="shared" si="172"/>
        <v>1243659.3</v>
      </c>
      <c r="Q220" s="16">
        <f t="shared" si="172"/>
        <v>994594.33</v>
      </c>
      <c r="R220" s="16">
        <f t="shared" si="172"/>
        <v>994594.33</v>
      </c>
      <c r="S220" s="16">
        <f t="shared" si="172"/>
        <v>994594.33</v>
      </c>
      <c r="T220" s="21"/>
      <c r="U220" s="2"/>
    </row>
    <row r="221" spans="1:21" s="5" customFormat="1" ht="14.25" x14ac:dyDescent="0.2">
      <c r="A221" s="13">
        <v>210</v>
      </c>
      <c r="B221" s="14" t="s">
        <v>11</v>
      </c>
      <c r="C221" s="16">
        <f t="shared" si="170"/>
        <v>0</v>
      </c>
      <c r="D221" s="16">
        <f t="shared" ref="D221:S221" si="173">D226+D231+D236+D241+D246+D251+D257+D267+D274</f>
        <v>0</v>
      </c>
      <c r="E221" s="16">
        <f t="shared" si="173"/>
        <v>0</v>
      </c>
      <c r="F221" s="16">
        <f t="shared" si="173"/>
        <v>0</v>
      </c>
      <c r="G221" s="16">
        <f t="shared" si="173"/>
        <v>0</v>
      </c>
      <c r="H221" s="16">
        <f t="shared" si="173"/>
        <v>0</v>
      </c>
      <c r="I221" s="16">
        <f t="shared" si="173"/>
        <v>0</v>
      </c>
      <c r="J221" s="16">
        <f t="shared" si="173"/>
        <v>0</v>
      </c>
      <c r="K221" s="16">
        <f t="shared" si="173"/>
        <v>0</v>
      </c>
      <c r="L221" s="16">
        <f t="shared" si="173"/>
        <v>0</v>
      </c>
      <c r="M221" s="16">
        <f t="shared" si="173"/>
        <v>0</v>
      </c>
      <c r="N221" s="16">
        <f t="shared" si="173"/>
        <v>0</v>
      </c>
      <c r="O221" s="16">
        <f t="shared" si="173"/>
        <v>0</v>
      </c>
      <c r="P221" s="16">
        <f t="shared" si="173"/>
        <v>0</v>
      </c>
      <c r="Q221" s="16">
        <f t="shared" si="173"/>
        <v>0</v>
      </c>
      <c r="R221" s="16">
        <f t="shared" si="173"/>
        <v>0</v>
      </c>
      <c r="S221" s="16">
        <f t="shared" si="173"/>
        <v>0</v>
      </c>
      <c r="T221" s="21"/>
      <c r="U221" s="2"/>
    </row>
    <row r="222" spans="1:21" s="5" customFormat="1" ht="61.5" customHeight="1" x14ac:dyDescent="0.2">
      <c r="A222" s="13">
        <v>211</v>
      </c>
      <c r="B222" s="18" t="s">
        <v>121</v>
      </c>
      <c r="C222" s="17">
        <f>SUM(D222:S222)</f>
        <v>17552549.599999998</v>
      </c>
      <c r="D222" s="17">
        <f t="shared" ref="D222:I222" si="174">SUM(D223:D226)</f>
        <v>0</v>
      </c>
      <c r="E222" s="17">
        <f t="shared" si="174"/>
        <v>250000</v>
      </c>
      <c r="F222" s="17">
        <f t="shared" si="174"/>
        <v>0</v>
      </c>
      <c r="G222" s="17">
        <f t="shared" si="174"/>
        <v>0</v>
      </c>
      <c r="H222" s="17">
        <f t="shared" si="174"/>
        <v>10735045.799999999</v>
      </c>
      <c r="I222" s="17">
        <f t="shared" si="174"/>
        <v>6567503.7999999998</v>
      </c>
      <c r="J222" s="17">
        <f t="shared" ref="J222:O222" si="175">SUM(J223:J226)</f>
        <v>0</v>
      </c>
      <c r="K222" s="17">
        <f t="shared" si="175"/>
        <v>0</v>
      </c>
      <c r="L222" s="17">
        <f t="shared" si="175"/>
        <v>0</v>
      </c>
      <c r="M222" s="17">
        <f t="shared" si="175"/>
        <v>0</v>
      </c>
      <c r="N222" s="17">
        <f t="shared" si="175"/>
        <v>0</v>
      </c>
      <c r="O222" s="17">
        <f t="shared" si="175"/>
        <v>0</v>
      </c>
      <c r="P222" s="17">
        <f t="shared" ref="P222:S222" si="176">SUM(P223:P226)</f>
        <v>0</v>
      </c>
      <c r="Q222" s="17">
        <f t="shared" si="176"/>
        <v>0</v>
      </c>
      <c r="R222" s="17">
        <f t="shared" si="176"/>
        <v>0</v>
      </c>
      <c r="S222" s="17">
        <f t="shared" si="176"/>
        <v>0</v>
      </c>
      <c r="T222" s="8" t="s">
        <v>54</v>
      </c>
      <c r="U222" s="2"/>
    </row>
    <row r="223" spans="1:21" s="5" customFormat="1" ht="14.25" x14ac:dyDescent="0.2">
      <c r="A223" s="13">
        <v>212</v>
      </c>
      <c r="B223" s="14" t="s">
        <v>8</v>
      </c>
      <c r="C223" s="16">
        <f>SUM(D223:S223)</f>
        <v>0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21"/>
      <c r="U223" s="2"/>
    </row>
    <row r="224" spans="1:21" s="5" customFormat="1" ht="14.25" x14ac:dyDescent="0.2">
      <c r="A224" s="13">
        <v>213</v>
      </c>
      <c r="B224" s="14" t="s">
        <v>9</v>
      </c>
      <c r="C224" s="16">
        <f t="shared" ref="C224:C226" si="177">SUM(D224:S224)</f>
        <v>0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21"/>
      <c r="U224" s="2"/>
    </row>
    <row r="225" spans="1:21" s="5" customFormat="1" ht="14.25" x14ac:dyDescent="0.2">
      <c r="A225" s="13">
        <v>214</v>
      </c>
      <c r="B225" s="14" t="s">
        <v>10</v>
      </c>
      <c r="C225" s="16">
        <f t="shared" si="177"/>
        <v>17552549.599999998</v>
      </c>
      <c r="D225" s="16">
        <v>0</v>
      </c>
      <c r="E225" s="16">
        <f>294887-44887</f>
        <v>250000</v>
      </c>
      <c r="F225" s="16">
        <v>0</v>
      </c>
      <c r="G225" s="16">
        <v>0</v>
      </c>
      <c r="H225" s="16">
        <f>3932650+247508.82+4726147.2+2250109.38-421369.6</f>
        <v>10735045.799999999</v>
      </c>
      <c r="I225" s="16">
        <f>4541118+2026385.8</f>
        <v>6567503.7999999998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21"/>
      <c r="U225" s="2"/>
    </row>
    <row r="226" spans="1:21" s="5" customFormat="1" ht="14.25" x14ac:dyDescent="0.2">
      <c r="A226" s="13">
        <v>215</v>
      </c>
      <c r="B226" s="14" t="s">
        <v>11</v>
      </c>
      <c r="C226" s="16">
        <f t="shared" si="177"/>
        <v>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21"/>
      <c r="U226" s="2"/>
    </row>
    <row r="227" spans="1:21" s="5" customFormat="1" ht="166.5" customHeight="1" x14ac:dyDescent="0.2">
      <c r="A227" s="13">
        <v>216</v>
      </c>
      <c r="B227" s="18" t="s">
        <v>122</v>
      </c>
      <c r="C227" s="17">
        <f>SUM(D227:S227)</f>
        <v>2229382.16</v>
      </c>
      <c r="D227" s="17">
        <f t="shared" ref="D227:I227" si="178">SUM(D228:D231)</f>
        <v>1339139.97</v>
      </c>
      <c r="E227" s="17">
        <f t="shared" si="178"/>
        <v>0</v>
      </c>
      <c r="F227" s="17">
        <f>SUM(F228:F231)</f>
        <v>890242.19</v>
      </c>
      <c r="G227" s="17">
        <f t="shared" si="178"/>
        <v>0</v>
      </c>
      <c r="H227" s="17">
        <f t="shared" si="178"/>
        <v>0</v>
      </c>
      <c r="I227" s="17">
        <f t="shared" si="178"/>
        <v>0</v>
      </c>
      <c r="J227" s="17">
        <f t="shared" ref="J227:O227" si="179">SUM(J228:J231)</f>
        <v>0</v>
      </c>
      <c r="K227" s="17">
        <f t="shared" si="179"/>
        <v>0</v>
      </c>
      <c r="L227" s="17">
        <f t="shared" si="179"/>
        <v>0</v>
      </c>
      <c r="M227" s="17">
        <f t="shared" si="179"/>
        <v>0</v>
      </c>
      <c r="N227" s="17">
        <f t="shared" si="179"/>
        <v>0</v>
      </c>
      <c r="O227" s="17">
        <f t="shared" si="179"/>
        <v>0</v>
      </c>
      <c r="P227" s="17">
        <f t="shared" ref="P227:S227" si="180">SUM(P228:P231)</f>
        <v>0</v>
      </c>
      <c r="Q227" s="17">
        <f t="shared" si="180"/>
        <v>0</v>
      </c>
      <c r="R227" s="17">
        <f t="shared" si="180"/>
        <v>0</v>
      </c>
      <c r="S227" s="17">
        <f t="shared" si="180"/>
        <v>0</v>
      </c>
      <c r="T227" s="8" t="s">
        <v>78</v>
      </c>
      <c r="U227" s="2"/>
    </row>
    <row r="228" spans="1:21" s="5" customFormat="1" ht="14.25" x14ac:dyDescent="0.2">
      <c r="A228" s="13">
        <v>217</v>
      </c>
      <c r="B228" s="14" t="s">
        <v>8</v>
      </c>
      <c r="C228" s="16">
        <f>SUM(D228:S228)</f>
        <v>0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21"/>
      <c r="U228" s="2"/>
    </row>
    <row r="229" spans="1:21" s="5" customFormat="1" ht="14.25" x14ac:dyDescent="0.2">
      <c r="A229" s="13">
        <v>218</v>
      </c>
      <c r="B229" s="14" t="s">
        <v>9</v>
      </c>
      <c r="C229" s="16">
        <f t="shared" ref="C229:C231" si="181">SUM(D229:S229)</f>
        <v>0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21"/>
      <c r="U229" s="2"/>
    </row>
    <row r="230" spans="1:21" s="5" customFormat="1" ht="14.25" x14ac:dyDescent="0.2">
      <c r="A230" s="13">
        <v>219</v>
      </c>
      <c r="B230" s="14" t="s">
        <v>10</v>
      </c>
      <c r="C230" s="16">
        <f t="shared" si="181"/>
        <v>2229382.16</v>
      </c>
      <c r="D230" s="16">
        <v>1339139.97</v>
      </c>
      <c r="E230" s="16">
        <v>0</v>
      </c>
      <c r="F230" s="16">
        <f>872560+21010.62-3328.43</f>
        <v>890242.19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21"/>
      <c r="U230" s="2"/>
    </row>
    <row r="231" spans="1:21" s="5" customFormat="1" ht="14.25" x14ac:dyDescent="0.2">
      <c r="A231" s="13">
        <v>220</v>
      </c>
      <c r="B231" s="14" t="s">
        <v>23</v>
      </c>
      <c r="C231" s="16">
        <f t="shared" si="181"/>
        <v>0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21"/>
      <c r="U231" s="2"/>
    </row>
    <row r="232" spans="1:21" s="5" customFormat="1" ht="105.75" customHeight="1" x14ac:dyDescent="0.2">
      <c r="A232" s="13">
        <v>221</v>
      </c>
      <c r="B232" s="18" t="s">
        <v>123</v>
      </c>
      <c r="C232" s="17">
        <f>SUM(D232:S232)</f>
        <v>200000</v>
      </c>
      <c r="D232" s="17">
        <f t="shared" ref="D232:I232" si="182">SUM(D233:D236)</f>
        <v>200000</v>
      </c>
      <c r="E232" s="17">
        <f t="shared" si="182"/>
        <v>0</v>
      </c>
      <c r="F232" s="17">
        <f t="shared" si="182"/>
        <v>0</v>
      </c>
      <c r="G232" s="17">
        <f t="shared" si="182"/>
        <v>0</v>
      </c>
      <c r="H232" s="17">
        <f t="shared" si="182"/>
        <v>0</v>
      </c>
      <c r="I232" s="17">
        <f t="shared" si="182"/>
        <v>0</v>
      </c>
      <c r="J232" s="17">
        <f t="shared" ref="J232:O232" si="183">SUM(J233:J236)</f>
        <v>0</v>
      </c>
      <c r="K232" s="17">
        <f t="shared" si="183"/>
        <v>0</v>
      </c>
      <c r="L232" s="17">
        <f t="shared" si="183"/>
        <v>0</v>
      </c>
      <c r="M232" s="17">
        <f t="shared" si="183"/>
        <v>0</v>
      </c>
      <c r="N232" s="17">
        <f t="shared" si="183"/>
        <v>0</v>
      </c>
      <c r="O232" s="17">
        <f t="shared" si="183"/>
        <v>0</v>
      </c>
      <c r="P232" s="17">
        <f t="shared" ref="P232:S232" si="184">SUM(P233:P236)</f>
        <v>0</v>
      </c>
      <c r="Q232" s="17">
        <f t="shared" si="184"/>
        <v>0</v>
      </c>
      <c r="R232" s="17">
        <f t="shared" si="184"/>
        <v>0</v>
      </c>
      <c r="S232" s="17">
        <f t="shared" si="184"/>
        <v>0</v>
      </c>
      <c r="T232" s="8" t="s">
        <v>77</v>
      </c>
      <c r="U232" s="2"/>
    </row>
    <row r="233" spans="1:21" s="5" customFormat="1" ht="14.25" x14ac:dyDescent="0.2">
      <c r="A233" s="13">
        <v>222</v>
      </c>
      <c r="B233" s="14" t="s">
        <v>8</v>
      </c>
      <c r="C233" s="16">
        <f>SUM(D233:S233)</f>
        <v>0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21"/>
      <c r="U233" s="2"/>
    </row>
    <row r="234" spans="1:21" s="5" customFormat="1" ht="14.25" x14ac:dyDescent="0.2">
      <c r="A234" s="13">
        <v>223</v>
      </c>
      <c r="B234" s="14" t="s">
        <v>9</v>
      </c>
      <c r="C234" s="16">
        <f t="shared" ref="C234:C236" si="185">SUM(D234:S234)</f>
        <v>0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21"/>
      <c r="U234" s="2"/>
    </row>
    <row r="235" spans="1:21" s="5" customFormat="1" ht="21" customHeight="1" x14ac:dyDescent="0.2">
      <c r="A235" s="13">
        <v>224</v>
      </c>
      <c r="B235" s="14" t="s">
        <v>10</v>
      </c>
      <c r="C235" s="16">
        <f t="shared" si="185"/>
        <v>200000</v>
      </c>
      <c r="D235" s="16">
        <v>200000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21"/>
      <c r="U235" s="2"/>
    </row>
    <row r="236" spans="1:21" s="5" customFormat="1" ht="14.25" x14ac:dyDescent="0.2">
      <c r="A236" s="13">
        <v>225</v>
      </c>
      <c r="B236" s="14" t="s">
        <v>11</v>
      </c>
      <c r="C236" s="16">
        <f t="shared" si="185"/>
        <v>0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21"/>
      <c r="U236" s="2"/>
    </row>
    <row r="237" spans="1:21" s="5" customFormat="1" ht="42.75" x14ac:dyDescent="0.2">
      <c r="A237" s="13">
        <v>226</v>
      </c>
      <c r="B237" s="18" t="s">
        <v>124</v>
      </c>
      <c r="C237" s="17">
        <f>SUM(D237:S237)</f>
        <v>0</v>
      </c>
      <c r="D237" s="17">
        <f t="shared" ref="D237:I237" si="186">SUM(D238:D241)</f>
        <v>0</v>
      </c>
      <c r="E237" s="17">
        <f t="shared" si="186"/>
        <v>0</v>
      </c>
      <c r="F237" s="17">
        <f t="shared" si="186"/>
        <v>0</v>
      </c>
      <c r="G237" s="17">
        <f t="shared" si="186"/>
        <v>0</v>
      </c>
      <c r="H237" s="17">
        <f t="shared" si="186"/>
        <v>0</v>
      </c>
      <c r="I237" s="17">
        <f t="shared" si="186"/>
        <v>0</v>
      </c>
      <c r="J237" s="17">
        <f t="shared" ref="J237:O237" si="187">SUM(J238:J241)</f>
        <v>0</v>
      </c>
      <c r="K237" s="17">
        <f t="shared" si="187"/>
        <v>0</v>
      </c>
      <c r="L237" s="17">
        <f t="shared" si="187"/>
        <v>0</v>
      </c>
      <c r="M237" s="17">
        <f t="shared" si="187"/>
        <v>0</v>
      </c>
      <c r="N237" s="17">
        <f t="shared" si="187"/>
        <v>0</v>
      </c>
      <c r="O237" s="17">
        <f t="shared" si="187"/>
        <v>0</v>
      </c>
      <c r="P237" s="17">
        <f t="shared" ref="P237:S237" si="188">SUM(P238:P241)</f>
        <v>0</v>
      </c>
      <c r="Q237" s="17">
        <f t="shared" si="188"/>
        <v>0</v>
      </c>
      <c r="R237" s="17">
        <f t="shared" si="188"/>
        <v>0</v>
      </c>
      <c r="S237" s="17">
        <f t="shared" si="188"/>
        <v>0</v>
      </c>
      <c r="T237" s="8" t="s">
        <v>69</v>
      </c>
      <c r="U237" s="2"/>
    </row>
    <row r="238" spans="1:21" s="5" customFormat="1" ht="14.25" x14ac:dyDescent="0.2">
      <c r="A238" s="13">
        <v>227</v>
      </c>
      <c r="B238" s="14" t="s">
        <v>8</v>
      </c>
      <c r="C238" s="16">
        <f>SUM(D238:S238)</f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21"/>
      <c r="U238" s="2"/>
    </row>
    <row r="239" spans="1:21" s="5" customFormat="1" ht="14.25" x14ac:dyDescent="0.2">
      <c r="A239" s="13">
        <v>228</v>
      </c>
      <c r="B239" s="14" t="s">
        <v>9</v>
      </c>
      <c r="C239" s="16">
        <f t="shared" ref="C239:C241" si="189">SUM(D239:S239)</f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21"/>
      <c r="U239" s="2"/>
    </row>
    <row r="240" spans="1:21" s="5" customFormat="1" ht="14.25" x14ac:dyDescent="0.2">
      <c r="A240" s="13">
        <v>229</v>
      </c>
      <c r="B240" s="14" t="s">
        <v>10</v>
      </c>
      <c r="C240" s="16">
        <f t="shared" si="189"/>
        <v>0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21"/>
      <c r="U240" s="2"/>
    </row>
    <row r="241" spans="1:22" s="5" customFormat="1" ht="14.25" x14ac:dyDescent="0.2">
      <c r="A241" s="13">
        <v>230</v>
      </c>
      <c r="B241" s="14" t="s">
        <v>11</v>
      </c>
      <c r="C241" s="16">
        <f t="shared" si="189"/>
        <v>0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21"/>
      <c r="U241" s="2"/>
    </row>
    <row r="242" spans="1:22" s="5" customFormat="1" ht="42.75" x14ac:dyDescent="0.2">
      <c r="A242" s="13">
        <v>231</v>
      </c>
      <c r="B242" s="18" t="s">
        <v>125</v>
      </c>
      <c r="C242" s="17">
        <f>SUM(D242:S242)</f>
        <v>4959256.84</v>
      </c>
      <c r="D242" s="17">
        <f>SUM(D243:D246)</f>
        <v>515046.37</v>
      </c>
      <c r="E242" s="17">
        <f>E245</f>
        <v>1242631</v>
      </c>
      <c r="F242" s="17">
        <f>F245</f>
        <v>479551</v>
      </c>
      <c r="G242" s="17">
        <f>G243+G244+G245+G246</f>
        <v>574025.07999999996</v>
      </c>
      <c r="H242" s="17">
        <f t="shared" ref="H242:N242" si="190">SUM(H243:H246)</f>
        <v>2148003.39</v>
      </c>
      <c r="I242" s="17">
        <f t="shared" si="190"/>
        <v>0</v>
      </c>
      <c r="J242" s="17">
        <f t="shared" si="190"/>
        <v>0</v>
      </c>
      <c r="K242" s="17">
        <f t="shared" si="190"/>
        <v>0</v>
      </c>
      <c r="L242" s="17">
        <f t="shared" si="190"/>
        <v>0</v>
      </c>
      <c r="M242" s="17">
        <f>SUM(M243:M246)</f>
        <v>0</v>
      </c>
      <c r="N242" s="17">
        <f t="shared" si="190"/>
        <v>0</v>
      </c>
      <c r="O242" s="17">
        <f t="shared" ref="O242:S242" si="191">SUM(O243:O246)</f>
        <v>0</v>
      </c>
      <c r="P242" s="17">
        <f t="shared" si="191"/>
        <v>0</v>
      </c>
      <c r="Q242" s="17">
        <f t="shared" si="191"/>
        <v>0</v>
      </c>
      <c r="R242" s="17">
        <f t="shared" si="191"/>
        <v>0</v>
      </c>
      <c r="S242" s="17">
        <f t="shared" si="191"/>
        <v>0</v>
      </c>
      <c r="T242" s="8" t="s">
        <v>54</v>
      </c>
      <c r="U242" s="2"/>
    </row>
    <row r="243" spans="1:22" s="5" customFormat="1" ht="14.25" x14ac:dyDescent="0.2">
      <c r="A243" s="13">
        <v>232</v>
      </c>
      <c r="B243" s="14" t="s">
        <v>8</v>
      </c>
      <c r="C243" s="16">
        <f>SUM(D243:S243)</f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21"/>
      <c r="U243" s="2"/>
    </row>
    <row r="244" spans="1:22" s="5" customFormat="1" ht="14.25" x14ac:dyDescent="0.2">
      <c r="A244" s="13">
        <v>233</v>
      </c>
      <c r="B244" s="14" t="s">
        <v>9</v>
      </c>
      <c r="C244" s="16">
        <f t="shared" ref="C244:C246" si="192">SUM(D244:S244)</f>
        <v>0</v>
      </c>
      <c r="D244" s="16"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21"/>
      <c r="U244" s="2"/>
    </row>
    <row r="245" spans="1:22" s="5" customFormat="1" ht="14.25" x14ac:dyDescent="0.2">
      <c r="A245" s="13">
        <v>234</v>
      </c>
      <c r="B245" s="14" t="s">
        <v>10</v>
      </c>
      <c r="C245" s="16">
        <f t="shared" si="192"/>
        <v>4959256.84</v>
      </c>
      <c r="D245" s="16">
        <v>515046.37</v>
      </c>
      <c r="E245" s="16">
        <v>1242631</v>
      </c>
      <c r="F245" s="16">
        <v>479551</v>
      </c>
      <c r="G245" s="16">
        <v>574025.07999999996</v>
      </c>
      <c r="H245" s="16">
        <f>2550000+165742.19-443075.61-122480-2183.19</f>
        <v>2148003.39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21"/>
      <c r="U245" s="2"/>
    </row>
    <row r="246" spans="1:22" s="5" customFormat="1" ht="14.25" x14ac:dyDescent="0.2">
      <c r="A246" s="13">
        <v>235</v>
      </c>
      <c r="B246" s="14" t="s">
        <v>11</v>
      </c>
      <c r="C246" s="16">
        <f t="shared" si="192"/>
        <v>0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21"/>
      <c r="U246" s="2"/>
    </row>
    <row r="247" spans="1:22" s="5" customFormat="1" ht="85.5" x14ac:dyDescent="0.2">
      <c r="A247" s="13">
        <v>236</v>
      </c>
      <c r="B247" s="18" t="s">
        <v>126</v>
      </c>
      <c r="C247" s="17">
        <f>SUM(D247:S247)</f>
        <v>391819</v>
      </c>
      <c r="D247" s="17">
        <f t="shared" ref="D247:I247" si="193">SUM(D248:D251)</f>
        <v>391819</v>
      </c>
      <c r="E247" s="17">
        <f t="shared" si="193"/>
        <v>0</v>
      </c>
      <c r="F247" s="17">
        <f t="shared" si="193"/>
        <v>0</v>
      </c>
      <c r="G247" s="17">
        <f t="shared" si="193"/>
        <v>0</v>
      </c>
      <c r="H247" s="17">
        <f t="shared" si="193"/>
        <v>0</v>
      </c>
      <c r="I247" s="17">
        <f t="shared" si="193"/>
        <v>0</v>
      </c>
      <c r="J247" s="17">
        <f t="shared" ref="J247:O247" si="194">SUM(J248:J251)</f>
        <v>0</v>
      </c>
      <c r="K247" s="17">
        <f t="shared" si="194"/>
        <v>0</v>
      </c>
      <c r="L247" s="17">
        <f t="shared" si="194"/>
        <v>0</v>
      </c>
      <c r="M247" s="17">
        <f t="shared" si="194"/>
        <v>0</v>
      </c>
      <c r="N247" s="17">
        <f t="shared" si="194"/>
        <v>0</v>
      </c>
      <c r="O247" s="17">
        <f t="shared" si="194"/>
        <v>0</v>
      </c>
      <c r="P247" s="17">
        <f t="shared" ref="P247:S247" si="195">SUM(P248:P251)</f>
        <v>0</v>
      </c>
      <c r="Q247" s="17">
        <f t="shared" si="195"/>
        <v>0</v>
      </c>
      <c r="R247" s="17">
        <f t="shared" si="195"/>
        <v>0</v>
      </c>
      <c r="S247" s="17">
        <f t="shared" si="195"/>
        <v>0</v>
      </c>
      <c r="T247" s="8" t="s">
        <v>78</v>
      </c>
      <c r="U247" s="2"/>
    </row>
    <row r="248" spans="1:22" s="5" customFormat="1" ht="14.25" x14ac:dyDescent="0.2">
      <c r="A248" s="13">
        <v>237</v>
      </c>
      <c r="B248" s="14" t="s">
        <v>8</v>
      </c>
      <c r="C248" s="16">
        <f>SUM(D248:S248)</f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21"/>
      <c r="U248" s="2"/>
    </row>
    <row r="249" spans="1:22" s="5" customFormat="1" ht="14.25" x14ac:dyDescent="0.2">
      <c r="A249" s="13">
        <v>238</v>
      </c>
      <c r="B249" s="14" t="s">
        <v>9</v>
      </c>
      <c r="C249" s="16">
        <f t="shared" ref="C249:C251" si="196">SUM(D249:S249)</f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21"/>
      <c r="U249" s="2"/>
    </row>
    <row r="250" spans="1:22" s="5" customFormat="1" ht="14.25" x14ac:dyDescent="0.2">
      <c r="A250" s="13">
        <v>239</v>
      </c>
      <c r="B250" s="14" t="s">
        <v>10</v>
      </c>
      <c r="C250" s="16">
        <f t="shared" si="196"/>
        <v>391819</v>
      </c>
      <c r="D250" s="16">
        <v>391819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21"/>
      <c r="U250" s="2"/>
    </row>
    <row r="251" spans="1:22" s="5" customFormat="1" ht="14.25" x14ac:dyDescent="0.2">
      <c r="A251" s="13">
        <v>240</v>
      </c>
      <c r="B251" s="14" t="s">
        <v>11</v>
      </c>
      <c r="C251" s="16">
        <f t="shared" si="196"/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21"/>
      <c r="U251" s="2"/>
    </row>
    <row r="252" spans="1:22" s="42" customFormat="1" x14ac:dyDescent="0.2">
      <c r="A252" s="43">
        <v>1</v>
      </c>
      <c r="B252" s="43">
        <v>2</v>
      </c>
      <c r="C252" s="43">
        <v>3</v>
      </c>
      <c r="D252" s="43">
        <v>4</v>
      </c>
      <c r="E252" s="43">
        <v>5</v>
      </c>
      <c r="F252" s="43">
        <v>6</v>
      </c>
      <c r="G252" s="43">
        <v>7</v>
      </c>
      <c r="H252" s="43">
        <v>8</v>
      </c>
      <c r="I252" s="43">
        <v>9</v>
      </c>
      <c r="J252" s="43">
        <v>10</v>
      </c>
      <c r="K252" s="43">
        <v>11</v>
      </c>
      <c r="L252" s="43">
        <v>12</v>
      </c>
      <c r="M252" s="43">
        <v>13</v>
      </c>
      <c r="N252" s="43">
        <v>14</v>
      </c>
      <c r="O252" s="43">
        <v>15</v>
      </c>
      <c r="P252" s="43">
        <v>16</v>
      </c>
      <c r="Q252" s="43">
        <v>17</v>
      </c>
      <c r="R252" s="43">
        <v>18</v>
      </c>
      <c r="S252" s="43">
        <v>19</v>
      </c>
      <c r="T252" s="43">
        <v>20</v>
      </c>
      <c r="U252" s="2"/>
    </row>
    <row r="253" spans="1:22" s="5" customFormat="1" ht="78" customHeight="1" x14ac:dyDescent="0.2">
      <c r="A253" s="13">
        <v>241</v>
      </c>
      <c r="B253" s="18" t="s">
        <v>127</v>
      </c>
      <c r="C253" s="17">
        <f>SUM(D253:S253)</f>
        <v>83303947.479999989</v>
      </c>
      <c r="D253" s="17">
        <f>SUM(D254:D257)</f>
        <v>0</v>
      </c>
      <c r="E253" s="17">
        <f>E256</f>
        <v>2729132.72</v>
      </c>
      <c r="F253" s="17">
        <f>F256+F255</f>
        <v>4903526.49</v>
      </c>
      <c r="G253" s="17">
        <f>G254+G255+G256+G257</f>
        <v>4921375.37</v>
      </c>
      <c r="H253" s="17">
        <f>H254+H255+H256+H257</f>
        <v>15480833.660000002</v>
      </c>
      <c r="I253" s="17">
        <f t="shared" ref="I253:N253" si="197">SUM(I254:I257)</f>
        <v>12231260.210000001</v>
      </c>
      <c r="J253" s="17">
        <f t="shared" si="197"/>
        <v>7633038.1499999994</v>
      </c>
      <c r="K253" s="17">
        <f t="shared" si="197"/>
        <v>9216597.2200000007</v>
      </c>
      <c r="L253" s="17">
        <f t="shared" si="197"/>
        <v>7786960.7299999995</v>
      </c>
      <c r="M253" s="17">
        <f t="shared" si="197"/>
        <v>13291921.640000001</v>
      </c>
      <c r="N253" s="17">
        <f t="shared" si="197"/>
        <v>595259</v>
      </c>
      <c r="O253" s="17">
        <f t="shared" ref="O253:S253" si="198">SUM(O254:O257)</f>
        <v>286600</v>
      </c>
      <c r="P253" s="17">
        <f t="shared" si="198"/>
        <v>1243659.3</v>
      </c>
      <c r="Q253" s="17">
        <f t="shared" si="198"/>
        <v>994594.33</v>
      </c>
      <c r="R253" s="17">
        <f t="shared" si="198"/>
        <v>994594.33</v>
      </c>
      <c r="S253" s="17">
        <f t="shared" si="198"/>
        <v>994594.33</v>
      </c>
      <c r="T253" s="8" t="s">
        <v>55</v>
      </c>
      <c r="U253" s="2"/>
    </row>
    <row r="254" spans="1:22" s="5" customFormat="1" ht="14.25" x14ac:dyDescent="0.2">
      <c r="A254" s="13">
        <v>242</v>
      </c>
      <c r="B254" s="14" t="s">
        <v>8</v>
      </c>
      <c r="C254" s="16">
        <f>SUM(D254:S254)</f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21"/>
      <c r="U254" s="2"/>
      <c r="V254" s="2"/>
    </row>
    <row r="255" spans="1:22" s="5" customFormat="1" ht="14.25" x14ac:dyDescent="0.2">
      <c r="A255" s="13">
        <v>243</v>
      </c>
      <c r="B255" s="14" t="s">
        <v>9</v>
      </c>
      <c r="C255" s="16">
        <f t="shared" ref="C255:C257" si="199">SUM(D255:S255)</f>
        <v>1871703.5900000003</v>
      </c>
      <c r="D255" s="16">
        <v>0</v>
      </c>
      <c r="E255" s="16">
        <v>0</v>
      </c>
      <c r="F255" s="16">
        <f>347608.26</f>
        <v>347608.26</v>
      </c>
      <c r="G255" s="16">
        <f>43520+20736+458897.28+83859+274453.57+147848+65980+28570.75+12387.3+9277.12+48104+4280+5000+5654.4+10811.31</f>
        <v>1219378.7300000002</v>
      </c>
      <c r="H255" s="16">
        <v>0</v>
      </c>
      <c r="I255" s="16">
        <v>0</v>
      </c>
      <c r="J255" s="16">
        <v>0</v>
      </c>
      <c r="K255" s="16">
        <v>0</v>
      </c>
      <c r="L255" s="16">
        <v>304716.59999999998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21"/>
      <c r="U255" s="2"/>
    </row>
    <row r="256" spans="1:22" s="5" customFormat="1" ht="14.25" x14ac:dyDescent="0.2">
      <c r="A256" s="13">
        <v>244</v>
      </c>
      <c r="B256" s="14" t="s">
        <v>10</v>
      </c>
      <c r="C256" s="16">
        <f t="shared" si="199"/>
        <v>81432243.890000001</v>
      </c>
      <c r="D256" s="16">
        <v>0</v>
      </c>
      <c r="E256" s="16">
        <v>2729132.72</v>
      </c>
      <c r="F256" s="16">
        <v>4555918.2300000004</v>
      </c>
      <c r="G256" s="16">
        <v>3701996.64</v>
      </c>
      <c r="H256" s="16">
        <f>8776333.91+5191999.21+1609642.64-97142.1</f>
        <v>15480833.660000002</v>
      </c>
      <c r="I256" s="16">
        <f>5747890.57+5664943.64+58420+508006+193000+59000</f>
        <v>12231260.210000001</v>
      </c>
      <c r="J256" s="16">
        <f>6843520.56+281066.03+91266.47+60671.1+356513.99</f>
        <v>7633038.1499999994</v>
      </c>
      <c r="K256" s="16">
        <v>9216597.2200000007</v>
      </c>
      <c r="L256" s="16">
        <v>7482244.1299999999</v>
      </c>
      <c r="M256" s="16">
        <v>13291921.640000001</v>
      </c>
      <c r="N256" s="16">
        <v>595259</v>
      </c>
      <c r="O256" s="16">
        <v>286600</v>
      </c>
      <c r="P256" s="16">
        <v>1243659.3</v>
      </c>
      <c r="Q256" s="16">
        <v>994594.33</v>
      </c>
      <c r="R256" s="16">
        <v>994594.33</v>
      </c>
      <c r="S256" s="16">
        <v>994594.33</v>
      </c>
      <c r="T256" s="21"/>
      <c r="U256" s="2"/>
      <c r="V256" s="2"/>
    </row>
    <row r="257" spans="1:22" s="5" customFormat="1" ht="14.25" x14ac:dyDescent="0.2">
      <c r="A257" s="13">
        <v>245</v>
      </c>
      <c r="B257" s="14" t="s">
        <v>11</v>
      </c>
      <c r="C257" s="16">
        <f t="shared" si="199"/>
        <v>0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21"/>
      <c r="U257" s="2"/>
    </row>
    <row r="258" spans="1:22" s="5" customFormat="1" ht="151.5" customHeight="1" x14ac:dyDescent="0.2">
      <c r="A258" s="13">
        <v>246</v>
      </c>
      <c r="B258" s="30" t="s">
        <v>142</v>
      </c>
      <c r="C258" s="17">
        <f>SUM(D258:S258)</f>
        <v>347525.84</v>
      </c>
      <c r="D258" s="16">
        <v>0</v>
      </c>
      <c r="E258" s="16">
        <v>0</v>
      </c>
      <c r="F258" s="16">
        <v>347525.84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8" t="s">
        <v>80</v>
      </c>
      <c r="U258" s="2"/>
    </row>
    <row r="259" spans="1:22" s="5" customFormat="1" ht="14.25" x14ac:dyDescent="0.2">
      <c r="A259" s="13">
        <v>247</v>
      </c>
      <c r="B259" s="14" t="s">
        <v>8</v>
      </c>
      <c r="C259" s="16">
        <f>SUM(D259:S259)</f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21"/>
      <c r="U259" s="2"/>
    </row>
    <row r="260" spans="1:22" s="5" customFormat="1" ht="14.25" x14ac:dyDescent="0.2">
      <c r="A260" s="13">
        <v>248</v>
      </c>
      <c r="B260" s="14" t="s">
        <v>9</v>
      </c>
      <c r="C260" s="16">
        <f t="shared" ref="C260:C262" si="200">SUM(D260:S260)</f>
        <v>330149.55</v>
      </c>
      <c r="D260" s="16">
        <v>0</v>
      </c>
      <c r="E260" s="16">
        <v>0</v>
      </c>
      <c r="F260" s="16">
        <v>330149.55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21"/>
      <c r="U260" s="2"/>
    </row>
    <row r="261" spans="1:22" s="5" customFormat="1" ht="14.25" x14ac:dyDescent="0.2">
      <c r="A261" s="13">
        <v>249</v>
      </c>
      <c r="B261" s="14" t="s">
        <v>10</v>
      </c>
      <c r="C261" s="16">
        <f t="shared" si="200"/>
        <v>17376.29</v>
      </c>
      <c r="D261" s="16">
        <v>0</v>
      </c>
      <c r="E261" s="16">
        <v>0</v>
      </c>
      <c r="F261" s="16">
        <v>17376.29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21"/>
      <c r="U261" s="2"/>
    </row>
    <row r="262" spans="1:22" s="5" customFormat="1" ht="14.25" x14ac:dyDescent="0.2">
      <c r="A262" s="13">
        <v>250</v>
      </c>
      <c r="B262" s="14" t="s">
        <v>11</v>
      </c>
      <c r="C262" s="16">
        <f t="shared" si="200"/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21"/>
      <c r="U262" s="2"/>
    </row>
    <row r="263" spans="1:22" s="5" customFormat="1" ht="75" customHeight="1" x14ac:dyDescent="0.2">
      <c r="A263" s="13">
        <v>251</v>
      </c>
      <c r="B263" s="18" t="s">
        <v>128</v>
      </c>
      <c r="C263" s="17">
        <f>SUM(D263:S263)</f>
        <v>3776219.7600000002</v>
      </c>
      <c r="D263" s="17">
        <f>SUM(D264:D267)</f>
        <v>0</v>
      </c>
      <c r="E263" s="17">
        <f>E266</f>
        <v>0</v>
      </c>
      <c r="F263" s="17">
        <f>F264+F265+F266+F267</f>
        <v>31900</v>
      </c>
      <c r="G263" s="17">
        <f>G264+G265+G266+G267</f>
        <v>184418.07</v>
      </c>
      <c r="H263" s="17">
        <f t="shared" ref="H263:N263" si="201">SUM(H264:H267)</f>
        <v>2454342.29</v>
      </c>
      <c r="I263" s="17">
        <f t="shared" si="201"/>
        <v>778960.73</v>
      </c>
      <c r="J263" s="17">
        <f t="shared" si="201"/>
        <v>0</v>
      </c>
      <c r="K263" s="17">
        <f t="shared" si="201"/>
        <v>231891.97</v>
      </c>
      <c r="L263" s="17">
        <f t="shared" si="201"/>
        <v>0</v>
      </c>
      <c r="M263" s="17">
        <f>SUM(M264:M267)</f>
        <v>94706.7</v>
      </c>
      <c r="N263" s="17">
        <f t="shared" si="201"/>
        <v>0</v>
      </c>
      <c r="O263" s="17">
        <f t="shared" ref="O263:S263" si="202">SUM(O264:O267)</f>
        <v>0</v>
      </c>
      <c r="P263" s="17">
        <f t="shared" si="202"/>
        <v>0</v>
      </c>
      <c r="Q263" s="17">
        <f t="shared" si="202"/>
        <v>0</v>
      </c>
      <c r="R263" s="17">
        <f t="shared" si="202"/>
        <v>0</v>
      </c>
      <c r="S263" s="17">
        <f t="shared" si="202"/>
        <v>0</v>
      </c>
      <c r="T263" s="8" t="s">
        <v>55</v>
      </c>
      <c r="U263" s="2"/>
    </row>
    <row r="264" spans="1:22" s="5" customFormat="1" ht="14.25" x14ac:dyDescent="0.2">
      <c r="A264" s="13">
        <v>252</v>
      </c>
      <c r="B264" s="14" t="s">
        <v>8</v>
      </c>
      <c r="C264" s="16">
        <f>SUM(D264:S264)</f>
        <v>0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21"/>
      <c r="U264" s="2"/>
    </row>
    <row r="265" spans="1:22" s="5" customFormat="1" ht="14.25" x14ac:dyDescent="0.2">
      <c r="A265" s="13">
        <v>253</v>
      </c>
      <c r="B265" s="14" t="s">
        <v>9</v>
      </c>
      <c r="C265" s="16">
        <f t="shared" ref="C265:C267" si="203">SUM(D265:S265)</f>
        <v>152518.07</v>
      </c>
      <c r="D265" s="16">
        <v>0</v>
      </c>
      <c r="E265" s="16">
        <v>0</v>
      </c>
      <c r="F265" s="16">
        <v>0</v>
      </c>
      <c r="G265" s="16">
        <f>83359.07+69159</f>
        <v>152518.07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21"/>
      <c r="U265" s="2"/>
    </row>
    <row r="266" spans="1:22" s="5" customFormat="1" ht="14.25" x14ac:dyDescent="0.2">
      <c r="A266" s="13">
        <v>254</v>
      </c>
      <c r="B266" s="14" t="s">
        <v>10</v>
      </c>
      <c r="C266" s="16">
        <f t="shared" si="203"/>
        <v>3623701.6900000004</v>
      </c>
      <c r="D266" s="16">
        <v>0</v>
      </c>
      <c r="E266" s="16">
        <v>0</v>
      </c>
      <c r="F266" s="16">
        <v>31900</v>
      </c>
      <c r="G266" s="16">
        <v>31900</v>
      </c>
      <c r="H266" s="16">
        <f>18500+29724+2609486-203367.71</f>
        <v>2454342.29</v>
      </c>
      <c r="I266" s="16">
        <f>252900+484643+41417.73</f>
        <v>778960.73</v>
      </c>
      <c r="J266" s="16">
        <v>0</v>
      </c>
      <c r="K266" s="16">
        <v>231891.97</v>
      </c>
      <c r="L266" s="16">
        <v>0</v>
      </c>
      <c r="M266" s="16">
        <v>94706.7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21"/>
      <c r="U266" s="2"/>
      <c r="V266" s="2"/>
    </row>
    <row r="267" spans="1:22" s="5" customFormat="1" ht="14.25" x14ac:dyDescent="0.2">
      <c r="A267" s="13">
        <v>255</v>
      </c>
      <c r="B267" s="14" t="s">
        <v>11</v>
      </c>
      <c r="C267" s="16">
        <f t="shared" si="203"/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21"/>
      <c r="U267" s="2"/>
    </row>
    <row r="268" spans="1:22" s="5" customFormat="1" ht="75.75" customHeight="1" x14ac:dyDescent="0.2">
      <c r="A268" s="13">
        <v>256</v>
      </c>
      <c r="B268" s="18" t="s">
        <v>129</v>
      </c>
      <c r="C268" s="17">
        <f>SUM(D268:S268)</f>
        <v>30419330.25</v>
      </c>
      <c r="D268" s="17">
        <f>SUM(D269:D274)</f>
        <v>0</v>
      </c>
      <c r="E268" s="17">
        <f>E271</f>
        <v>82900</v>
      </c>
      <c r="F268" s="17">
        <f>F269+F270+F271+F277</f>
        <v>194240.84</v>
      </c>
      <c r="G268" s="17">
        <f>G269+G270+G271</f>
        <v>230177.82</v>
      </c>
      <c r="H268" s="17">
        <f>H269+H270+H271+H277</f>
        <v>371032.2</v>
      </c>
      <c r="I268" s="17">
        <f t="shared" ref="I268:S268" si="204">SUM(I269:I274)</f>
        <v>6191977.9400000004</v>
      </c>
      <c r="J268" s="17">
        <f t="shared" si="204"/>
        <v>786041.95000000019</v>
      </c>
      <c r="K268" s="17">
        <f t="shared" si="204"/>
        <v>7158995.75</v>
      </c>
      <c r="L268" s="17">
        <f t="shared" si="204"/>
        <v>10121047.18</v>
      </c>
      <c r="M268" s="17">
        <f t="shared" si="204"/>
        <v>2254351.2400000002</v>
      </c>
      <c r="N268" s="17">
        <f t="shared" si="204"/>
        <v>3028565.33</v>
      </c>
      <c r="O268" s="17">
        <f t="shared" si="204"/>
        <v>0</v>
      </c>
      <c r="P268" s="17">
        <f t="shared" si="204"/>
        <v>0</v>
      </c>
      <c r="Q268" s="17">
        <f t="shared" si="204"/>
        <v>0</v>
      </c>
      <c r="R268" s="17">
        <f t="shared" si="204"/>
        <v>0</v>
      </c>
      <c r="S268" s="17">
        <f t="shared" si="204"/>
        <v>0</v>
      </c>
      <c r="T268" s="8" t="s">
        <v>78</v>
      </c>
      <c r="U268" s="2"/>
    </row>
    <row r="269" spans="1:22" s="5" customFormat="1" ht="14.25" x14ac:dyDescent="0.2">
      <c r="A269" s="13">
        <v>257</v>
      </c>
      <c r="B269" s="14" t="s">
        <v>8</v>
      </c>
      <c r="C269" s="16">
        <f>SUM(D269:S269)</f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21"/>
      <c r="U269" s="2"/>
    </row>
    <row r="270" spans="1:22" s="5" customFormat="1" ht="14.25" x14ac:dyDescent="0.2">
      <c r="A270" s="13">
        <v>258</v>
      </c>
      <c r="B270" s="14" t="s">
        <v>9</v>
      </c>
      <c r="C270" s="16">
        <f t="shared" ref="C270:C272" si="205">SUM(D270:S270)</f>
        <v>63858</v>
      </c>
      <c r="D270" s="16">
        <v>0</v>
      </c>
      <c r="E270" s="16">
        <v>0</v>
      </c>
      <c r="F270" s="16">
        <v>63858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21"/>
      <c r="U270" s="2"/>
    </row>
    <row r="271" spans="1:22" s="5" customFormat="1" ht="14.25" x14ac:dyDescent="0.2">
      <c r="A271" s="13">
        <v>259</v>
      </c>
      <c r="B271" s="14" t="s">
        <v>10</v>
      </c>
      <c r="C271" s="16">
        <f t="shared" si="205"/>
        <v>30355472.25</v>
      </c>
      <c r="D271" s="16">
        <v>0</v>
      </c>
      <c r="E271" s="16">
        <v>82900</v>
      </c>
      <c r="F271" s="16">
        <v>130382.84</v>
      </c>
      <c r="G271" s="16">
        <v>230177.82</v>
      </c>
      <c r="H271" s="16">
        <f>160613+34500+175919.2</f>
        <v>371032.2</v>
      </c>
      <c r="I271" s="16">
        <f>100960+5452893.95+542831.2+95292.79</f>
        <v>6191977.9400000004</v>
      </c>
      <c r="J271" s="16">
        <f>1819668.84+85411-1119037.89</f>
        <v>786041.95000000019</v>
      </c>
      <c r="K271" s="16">
        <v>7158995.75</v>
      </c>
      <c r="L271" s="16">
        <v>10121047.18</v>
      </c>
      <c r="M271" s="16">
        <v>2254351.2400000002</v>
      </c>
      <c r="N271" s="16">
        <v>3028565.33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21"/>
      <c r="U271" s="2"/>
      <c r="V271" s="2"/>
    </row>
    <row r="272" spans="1:22" s="5" customFormat="1" ht="14.25" x14ac:dyDescent="0.2">
      <c r="A272" s="13">
        <v>260</v>
      </c>
      <c r="B272" s="14" t="s">
        <v>11</v>
      </c>
      <c r="C272" s="16">
        <f t="shared" si="205"/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21"/>
      <c r="U272" s="2"/>
    </row>
    <row r="273" spans="1:22" s="5" customFormat="1" ht="147.75" customHeight="1" x14ac:dyDescent="0.2">
      <c r="A273" s="13">
        <v>261</v>
      </c>
      <c r="B273" s="18" t="s">
        <v>143</v>
      </c>
      <c r="C273" s="17">
        <f>SUM(D273:S273)</f>
        <v>63858</v>
      </c>
      <c r="D273" s="16">
        <v>0</v>
      </c>
      <c r="E273" s="16">
        <v>0</v>
      </c>
      <c r="F273" s="16">
        <f>F274+F275+F276+F277</f>
        <v>63858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8" t="s">
        <v>80</v>
      </c>
      <c r="U273" s="2"/>
    </row>
    <row r="274" spans="1:22" s="5" customFormat="1" ht="14.25" x14ac:dyDescent="0.2">
      <c r="A274" s="13">
        <v>262</v>
      </c>
      <c r="B274" s="14" t="s">
        <v>8</v>
      </c>
      <c r="C274" s="16">
        <f>SUM(D274:S274)</f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21"/>
      <c r="U274" s="2"/>
    </row>
    <row r="275" spans="1:22" s="5" customFormat="1" ht="14.25" x14ac:dyDescent="0.2">
      <c r="A275" s="13">
        <v>263</v>
      </c>
      <c r="B275" s="14" t="s">
        <v>9</v>
      </c>
      <c r="C275" s="16">
        <f t="shared" ref="C275:C277" si="206">SUM(D275:S275)</f>
        <v>60665.1</v>
      </c>
      <c r="D275" s="16">
        <v>0</v>
      </c>
      <c r="E275" s="16">
        <v>0</v>
      </c>
      <c r="F275" s="16">
        <v>60665.1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21"/>
      <c r="U275" s="2"/>
    </row>
    <row r="276" spans="1:22" s="5" customFormat="1" ht="14.25" x14ac:dyDescent="0.2">
      <c r="A276" s="13">
        <v>264</v>
      </c>
      <c r="B276" s="14" t="s">
        <v>10</v>
      </c>
      <c r="C276" s="16">
        <f t="shared" si="206"/>
        <v>3192.9</v>
      </c>
      <c r="D276" s="16">
        <v>0</v>
      </c>
      <c r="E276" s="16">
        <v>0</v>
      </c>
      <c r="F276" s="16">
        <v>3192.9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21"/>
      <c r="U276" s="2"/>
    </row>
    <row r="277" spans="1:22" s="5" customFormat="1" ht="14.25" x14ac:dyDescent="0.2">
      <c r="A277" s="13">
        <v>265</v>
      </c>
      <c r="B277" s="14" t="s">
        <v>11</v>
      </c>
      <c r="C277" s="16">
        <f t="shared" si="206"/>
        <v>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21"/>
      <c r="U277" s="2"/>
    </row>
    <row r="278" spans="1:22" s="5" customFormat="1" ht="79.5" customHeight="1" x14ac:dyDescent="0.2">
      <c r="A278" s="13">
        <v>266</v>
      </c>
      <c r="B278" s="18" t="s">
        <v>130</v>
      </c>
      <c r="C278" s="17">
        <f>SUM(D278:S278)</f>
        <v>14063193.009999996</v>
      </c>
      <c r="D278" s="17">
        <f t="shared" ref="D278:N278" si="207">SUM(D279:D282)</f>
        <v>0</v>
      </c>
      <c r="E278" s="17">
        <f t="shared" si="207"/>
        <v>0</v>
      </c>
      <c r="F278" s="17">
        <f t="shared" si="207"/>
        <v>0</v>
      </c>
      <c r="G278" s="17">
        <f t="shared" si="207"/>
        <v>0</v>
      </c>
      <c r="H278" s="17">
        <f t="shared" si="207"/>
        <v>11011183.739999996</v>
      </c>
      <c r="I278" s="17">
        <f t="shared" si="207"/>
        <v>0</v>
      </c>
      <c r="J278" s="17">
        <f t="shared" si="207"/>
        <v>235544.31</v>
      </c>
      <c r="K278" s="17">
        <f t="shared" si="207"/>
        <v>902664.11</v>
      </c>
      <c r="L278" s="17">
        <f t="shared" si="207"/>
        <v>910972.17999999993</v>
      </c>
      <c r="M278" s="17">
        <f>SUM(M279:M282)</f>
        <v>1002828.67</v>
      </c>
      <c r="N278" s="17">
        <f t="shared" si="207"/>
        <v>0</v>
      </c>
      <c r="O278" s="17">
        <f t="shared" ref="O278:S278" si="208">SUM(O279:O282)</f>
        <v>0</v>
      </c>
      <c r="P278" s="17">
        <f t="shared" si="208"/>
        <v>0</v>
      </c>
      <c r="Q278" s="17">
        <f t="shared" si="208"/>
        <v>0</v>
      </c>
      <c r="R278" s="17">
        <f t="shared" si="208"/>
        <v>0</v>
      </c>
      <c r="S278" s="17">
        <f t="shared" si="208"/>
        <v>0</v>
      </c>
      <c r="T278" s="8" t="s">
        <v>54</v>
      </c>
      <c r="U278" s="2"/>
    </row>
    <row r="279" spans="1:22" s="5" customFormat="1" ht="14.25" x14ac:dyDescent="0.2">
      <c r="A279" s="13">
        <v>267</v>
      </c>
      <c r="B279" s="14" t="s">
        <v>8</v>
      </c>
      <c r="C279" s="16">
        <f t="shared" ref="C279:C282" si="209">SUM(D279:S279)</f>
        <v>0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21"/>
      <c r="U279" s="2"/>
    </row>
    <row r="280" spans="1:22" s="5" customFormat="1" ht="14.25" x14ac:dyDescent="0.2">
      <c r="A280" s="13">
        <v>268</v>
      </c>
      <c r="B280" s="14" t="s">
        <v>9</v>
      </c>
      <c r="C280" s="16">
        <f t="shared" si="209"/>
        <v>0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21"/>
      <c r="U280" s="2"/>
    </row>
    <row r="281" spans="1:22" s="5" customFormat="1" ht="14.25" x14ac:dyDescent="0.2">
      <c r="A281" s="13">
        <v>269</v>
      </c>
      <c r="B281" s="14" t="s">
        <v>10</v>
      </c>
      <c r="C281" s="16">
        <f t="shared" si="209"/>
        <v>14063193.009999996</v>
      </c>
      <c r="D281" s="16">
        <v>0</v>
      </c>
      <c r="E281" s="16">
        <v>0</v>
      </c>
      <c r="F281" s="16">
        <v>0</v>
      </c>
      <c r="G281" s="16">
        <v>0</v>
      </c>
      <c r="H281" s="16">
        <f>22924300-5817968.32+1668738.4-5381706.59-2091510.62-290669.13</f>
        <v>11011183.739999996</v>
      </c>
      <c r="I281" s="16">
        <v>0</v>
      </c>
      <c r="J281" s="16">
        <f>88988.31+146556</f>
        <v>235544.31</v>
      </c>
      <c r="K281" s="16">
        <v>902664.11</v>
      </c>
      <c r="L281" s="16">
        <f>802030.32+108941.86</f>
        <v>910972.17999999993</v>
      </c>
      <c r="M281" s="16">
        <v>1002828.67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21"/>
      <c r="U281" s="2"/>
      <c r="V281" s="2"/>
    </row>
    <row r="282" spans="1:22" s="5" customFormat="1" ht="14.25" x14ac:dyDescent="0.2">
      <c r="A282" s="13">
        <v>270</v>
      </c>
      <c r="B282" s="14" t="s">
        <v>11</v>
      </c>
      <c r="C282" s="16">
        <f t="shared" si="209"/>
        <v>0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21"/>
      <c r="U282" s="2"/>
    </row>
    <row r="283" spans="1:22" s="5" customFormat="1" ht="106.5" customHeight="1" x14ac:dyDescent="0.2">
      <c r="A283" s="13">
        <v>271</v>
      </c>
      <c r="B283" s="18" t="s">
        <v>131</v>
      </c>
      <c r="C283" s="17">
        <f>SUM(D283:S283)</f>
        <v>8682400</v>
      </c>
      <c r="D283" s="17">
        <f t="shared" ref="D283:N283" si="210">SUM(D284:D287)</f>
        <v>0</v>
      </c>
      <c r="E283" s="17">
        <f t="shared" si="210"/>
        <v>0</v>
      </c>
      <c r="F283" s="17">
        <f t="shared" si="210"/>
        <v>0</v>
      </c>
      <c r="G283" s="17">
        <f t="shared" si="210"/>
        <v>0</v>
      </c>
      <c r="H283" s="17">
        <f t="shared" si="210"/>
        <v>0</v>
      </c>
      <c r="I283" s="17">
        <f t="shared" si="210"/>
        <v>8682400</v>
      </c>
      <c r="J283" s="17">
        <f t="shared" si="210"/>
        <v>0</v>
      </c>
      <c r="K283" s="17">
        <f t="shared" si="210"/>
        <v>0</v>
      </c>
      <c r="L283" s="17">
        <f t="shared" si="210"/>
        <v>0</v>
      </c>
      <c r="M283" s="17">
        <f>SUM(M284:M287)</f>
        <v>0</v>
      </c>
      <c r="N283" s="17">
        <f t="shared" si="210"/>
        <v>0</v>
      </c>
      <c r="O283" s="17">
        <f t="shared" ref="O283:S283" si="211">SUM(O284:O287)</f>
        <v>0</v>
      </c>
      <c r="P283" s="17">
        <f t="shared" si="211"/>
        <v>0</v>
      </c>
      <c r="Q283" s="17">
        <f t="shared" si="211"/>
        <v>0</v>
      </c>
      <c r="R283" s="17">
        <f t="shared" si="211"/>
        <v>0</v>
      </c>
      <c r="S283" s="17">
        <f t="shared" si="211"/>
        <v>0</v>
      </c>
      <c r="T283" s="8" t="s">
        <v>55</v>
      </c>
      <c r="U283" s="2"/>
    </row>
    <row r="284" spans="1:22" s="5" customFormat="1" ht="14.25" x14ac:dyDescent="0.2">
      <c r="A284" s="13">
        <v>272</v>
      </c>
      <c r="B284" s="14" t="s">
        <v>8</v>
      </c>
      <c r="C284" s="16">
        <f>SUM(D284:S284)</f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21"/>
      <c r="U284" s="2"/>
    </row>
    <row r="285" spans="1:22" s="5" customFormat="1" ht="14.25" x14ac:dyDescent="0.2">
      <c r="A285" s="13">
        <v>273</v>
      </c>
      <c r="B285" s="14" t="s">
        <v>9</v>
      </c>
      <c r="C285" s="16">
        <f t="shared" ref="C285:C287" si="212">SUM(D285:S285)</f>
        <v>8682400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f>2638100+5253800+553200+237300</f>
        <v>8682400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21"/>
      <c r="U285" s="2"/>
    </row>
    <row r="286" spans="1:22" s="5" customFormat="1" ht="14.25" x14ac:dyDescent="0.2">
      <c r="A286" s="13">
        <v>274</v>
      </c>
      <c r="B286" s="14" t="s">
        <v>10</v>
      </c>
      <c r="C286" s="16">
        <f t="shared" si="212"/>
        <v>0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21"/>
      <c r="U286" s="2"/>
    </row>
    <row r="287" spans="1:22" s="5" customFormat="1" ht="14.25" x14ac:dyDescent="0.2">
      <c r="A287" s="13">
        <v>275</v>
      </c>
      <c r="B287" s="14" t="s">
        <v>11</v>
      </c>
      <c r="C287" s="16">
        <f t="shared" si="212"/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21"/>
      <c r="U287" s="2"/>
    </row>
    <row r="288" spans="1:22" s="5" customFormat="1" ht="15.75" customHeight="1" x14ac:dyDescent="0.2">
      <c r="A288" s="13">
        <v>276</v>
      </c>
      <c r="B288" s="48" t="s">
        <v>157</v>
      </c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/>
      <c r="S288" s="48"/>
      <c r="T288" s="48"/>
      <c r="U288" s="2"/>
    </row>
    <row r="289" spans="1:21" s="5" customFormat="1" ht="42.75" x14ac:dyDescent="0.2">
      <c r="A289" s="13">
        <v>277</v>
      </c>
      <c r="B289" s="9" t="s">
        <v>39</v>
      </c>
      <c r="C289" s="17">
        <f>SUM(D289:S289)</f>
        <v>361469804.63000005</v>
      </c>
      <c r="D289" s="17">
        <f t="shared" ref="D289:N293" si="213">D295</f>
        <v>16577803.379999999</v>
      </c>
      <c r="E289" s="17">
        <f t="shared" si="213"/>
        <v>14059940.5</v>
      </c>
      <c r="F289" s="17">
        <f t="shared" si="213"/>
        <v>17463502.219999999</v>
      </c>
      <c r="G289" s="17">
        <f t="shared" si="213"/>
        <v>18325774.66</v>
      </c>
      <c r="H289" s="17">
        <f t="shared" si="213"/>
        <v>25040022.159999996</v>
      </c>
      <c r="I289" s="17">
        <f t="shared" si="213"/>
        <v>2514310.8100000015</v>
      </c>
      <c r="J289" s="17">
        <f>J295</f>
        <v>15325424.65</v>
      </c>
      <c r="K289" s="17">
        <f t="shared" si="213"/>
        <v>20699965.960000001</v>
      </c>
      <c r="L289" s="17">
        <f t="shared" si="213"/>
        <v>27456736.77</v>
      </c>
      <c r="M289" s="17">
        <f>M295</f>
        <v>31003203.329999998</v>
      </c>
      <c r="N289" s="17">
        <f t="shared" si="213"/>
        <v>27548096</v>
      </c>
      <c r="O289" s="17">
        <f t="shared" ref="O289:S289" si="214">O295</f>
        <v>28143296</v>
      </c>
      <c r="P289" s="17">
        <f t="shared" si="214"/>
        <v>28815296</v>
      </c>
      <c r="Q289" s="17">
        <f t="shared" si="214"/>
        <v>29498810.729999997</v>
      </c>
      <c r="R289" s="17">
        <f t="shared" si="214"/>
        <v>29498810.729999997</v>
      </c>
      <c r="S289" s="17">
        <f t="shared" si="214"/>
        <v>29498810.729999997</v>
      </c>
      <c r="T289" s="12"/>
      <c r="U289" s="2"/>
    </row>
    <row r="290" spans="1:21" s="5" customFormat="1" ht="14.25" x14ac:dyDescent="0.2">
      <c r="A290" s="13">
        <v>278</v>
      </c>
      <c r="B290" s="14" t="s">
        <v>8</v>
      </c>
      <c r="C290" s="16">
        <f>SUM(D290:S290)</f>
        <v>0</v>
      </c>
      <c r="D290" s="16">
        <f t="shared" si="213"/>
        <v>0</v>
      </c>
      <c r="E290" s="16">
        <f t="shared" si="213"/>
        <v>0</v>
      </c>
      <c r="F290" s="16">
        <f t="shared" si="213"/>
        <v>0</v>
      </c>
      <c r="G290" s="16">
        <f t="shared" si="213"/>
        <v>0</v>
      </c>
      <c r="H290" s="16">
        <f t="shared" si="213"/>
        <v>0</v>
      </c>
      <c r="I290" s="16">
        <f t="shared" si="213"/>
        <v>0</v>
      </c>
      <c r="J290" s="16">
        <f t="shared" si="213"/>
        <v>0</v>
      </c>
      <c r="K290" s="16">
        <f t="shared" si="213"/>
        <v>0</v>
      </c>
      <c r="L290" s="16">
        <f t="shared" si="213"/>
        <v>0</v>
      </c>
      <c r="M290" s="16">
        <f>M296</f>
        <v>0</v>
      </c>
      <c r="N290" s="16">
        <f t="shared" si="213"/>
        <v>0</v>
      </c>
      <c r="O290" s="16">
        <f t="shared" ref="O290:S290" si="215">O296</f>
        <v>0</v>
      </c>
      <c r="P290" s="16">
        <f t="shared" si="215"/>
        <v>0</v>
      </c>
      <c r="Q290" s="16">
        <f t="shared" si="215"/>
        <v>0</v>
      </c>
      <c r="R290" s="16">
        <f t="shared" si="215"/>
        <v>0</v>
      </c>
      <c r="S290" s="16">
        <f t="shared" si="215"/>
        <v>0</v>
      </c>
      <c r="T290" s="12"/>
      <c r="U290" s="2"/>
    </row>
    <row r="291" spans="1:21" s="5" customFormat="1" ht="14.25" x14ac:dyDescent="0.2">
      <c r="A291" s="13">
        <v>279</v>
      </c>
      <c r="B291" s="14" t="s">
        <v>9</v>
      </c>
      <c r="C291" s="16">
        <f t="shared" ref="C291:C293" si="216">SUM(D291:S291)</f>
        <v>226045033.88</v>
      </c>
      <c r="D291" s="16">
        <f t="shared" si="213"/>
        <v>9218000</v>
      </c>
      <c r="E291" s="16">
        <f t="shared" si="213"/>
        <v>9218000</v>
      </c>
      <c r="F291" s="16">
        <f t="shared" si="213"/>
        <v>10941800</v>
      </c>
      <c r="G291" s="16">
        <f t="shared" si="213"/>
        <v>11367200</v>
      </c>
      <c r="H291" s="16">
        <f>H297</f>
        <v>14358600</v>
      </c>
      <c r="I291" s="16">
        <f>I297</f>
        <v>1135933.8800000008</v>
      </c>
      <c r="J291" s="16">
        <f>J297</f>
        <v>10969900</v>
      </c>
      <c r="K291" s="16">
        <f t="shared" si="213"/>
        <v>15083800</v>
      </c>
      <c r="L291" s="16">
        <f>L297</f>
        <v>18498800</v>
      </c>
      <c r="M291" s="16">
        <f>M297</f>
        <v>20354700</v>
      </c>
      <c r="N291" s="16">
        <f t="shared" si="213"/>
        <v>16150200</v>
      </c>
      <c r="O291" s="16">
        <f t="shared" ref="O291:S291" si="217">O297</f>
        <v>16796400</v>
      </c>
      <c r="P291" s="16">
        <f t="shared" si="217"/>
        <v>17468400</v>
      </c>
      <c r="Q291" s="16">
        <f t="shared" si="217"/>
        <v>18161100</v>
      </c>
      <c r="R291" s="16">
        <f t="shared" si="217"/>
        <v>18161100</v>
      </c>
      <c r="S291" s="16">
        <f t="shared" si="217"/>
        <v>18161100</v>
      </c>
      <c r="T291" s="12"/>
      <c r="U291" s="2"/>
    </row>
    <row r="292" spans="1:21" s="5" customFormat="1" ht="14.25" x14ac:dyDescent="0.2">
      <c r="A292" s="13">
        <v>280</v>
      </c>
      <c r="B292" s="14" t="s">
        <v>10</v>
      </c>
      <c r="C292" s="16">
        <f t="shared" si="216"/>
        <v>110466477.91999999</v>
      </c>
      <c r="D292" s="16">
        <f t="shared" si="213"/>
        <v>7359803.3799999999</v>
      </c>
      <c r="E292" s="16">
        <f t="shared" si="213"/>
        <v>4841940.5</v>
      </c>
      <c r="F292" s="16">
        <f t="shared" si="213"/>
        <v>6100255.2199999997</v>
      </c>
      <c r="G292" s="16">
        <f t="shared" si="213"/>
        <v>6296706.1299999999</v>
      </c>
      <c r="H292" s="16">
        <f>H298</f>
        <v>6892031.1499999994</v>
      </c>
      <c r="I292" s="16">
        <f t="shared" si="213"/>
        <v>1375121.9300000006</v>
      </c>
      <c r="J292" s="16">
        <f t="shared" si="213"/>
        <v>852362.41999999993</v>
      </c>
      <c r="K292" s="16">
        <f>K298</f>
        <v>3709381.5</v>
      </c>
      <c r="L292" s="16">
        <f t="shared" si="213"/>
        <v>7675422.5700000003</v>
      </c>
      <c r="M292" s="16">
        <f>M298</f>
        <v>9382703.3300000001</v>
      </c>
      <c r="N292" s="16">
        <f t="shared" si="213"/>
        <v>9377217.5999999996</v>
      </c>
      <c r="O292" s="16">
        <f t="shared" ref="O292:S292" si="218">O298</f>
        <v>9326217.5999999996</v>
      </c>
      <c r="P292" s="16">
        <f t="shared" si="218"/>
        <v>9326217.5999999996</v>
      </c>
      <c r="Q292" s="16">
        <f t="shared" si="218"/>
        <v>9317032.3300000001</v>
      </c>
      <c r="R292" s="16">
        <f t="shared" si="218"/>
        <v>9317032.3300000001</v>
      </c>
      <c r="S292" s="16">
        <f t="shared" si="218"/>
        <v>9317032.3300000001</v>
      </c>
      <c r="T292" s="12"/>
      <c r="U292" s="2"/>
    </row>
    <row r="293" spans="1:21" s="5" customFormat="1" ht="14.25" x14ac:dyDescent="0.2">
      <c r="A293" s="13">
        <v>281</v>
      </c>
      <c r="B293" s="14" t="s">
        <v>11</v>
      </c>
      <c r="C293" s="16">
        <f t="shared" si="216"/>
        <v>24958292.829999994</v>
      </c>
      <c r="D293" s="16">
        <f t="shared" si="213"/>
        <v>0</v>
      </c>
      <c r="E293" s="16">
        <f t="shared" si="213"/>
        <v>0</v>
      </c>
      <c r="F293" s="16">
        <f t="shared" si="213"/>
        <v>421447</v>
      </c>
      <c r="G293" s="16">
        <f t="shared" si="213"/>
        <v>661868.53</v>
      </c>
      <c r="H293" s="16">
        <f t="shared" si="213"/>
        <v>3789391.01</v>
      </c>
      <c r="I293" s="16">
        <f t="shared" si="213"/>
        <v>3255</v>
      </c>
      <c r="J293" s="16">
        <f t="shared" si="213"/>
        <v>3503162.2300000004</v>
      </c>
      <c r="K293" s="16">
        <f t="shared" si="213"/>
        <v>1906784.46</v>
      </c>
      <c r="L293" s="16">
        <f t="shared" si="213"/>
        <v>1282514.2</v>
      </c>
      <c r="M293" s="16">
        <f>M299</f>
        <v>1265800</v>
      </c>
      <c r="N293" s="16">
        <f t="shared" si="213"/>
        <v>2020678.4</v>
      </c>
      <c r="O293" s="16">
        <f t="shared" ref="O293:S293" si="219">O299</f>
        <v>2020678.4</v>
      </c>
      <c r="P293" s="16">
        <f t="shared" si="219"/>
        <v>2020678.4</v>
      </c>
      <c r="Q293" s="16">
        <f t="shared" si="219"/>
        <v>2020678.4</v>
      </c>
      <c r="R293" s="16">
        <f t="shared" si="219"/>
        <v>2020678.4</v>
      </c>
      <c r="S293" s="16">
        <f t="shared" si="219"/>
        <v>2020678.4</v>
      </c>
      <c r="T293" s="12"/>
      <c r="U293" s="2"/>
    </row>
    <row r="294" spans="1:21" s="5" customFormat="1" ht="15" x14ac:dyDescent="0.2">
      <c r="A294" s="13">
        <v>282</v>
      </c>
      <c r="B294" s="45" t="s">
        <v>21</v>
      </c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2"/>
    </row>
    <row r="295" spans="1:21" s="5" customFormat="1" ht="42.75" x14ac:dyDescent="0.2">
      <c r="A295" s="13">
        <v>283</v>
      </c>
      <c r="B295" s="9" t="s">
        <v>34</v>
      </c>
      <c r="C295" s="17">
        <f>SUM(D295:S295)</f>
        <v>361469804.63000005</v>
      </c>
      <c r="D295" s="16">
        <f t="shared" ref="D295:I295" si="220">SUM(D296:D299)</f>
        <v>16577803.379999999</v>
      </c>
      <c r="E295" s="16">
        <f t="shared" si="220"/>
        <v>14059940.5</v>
      </c>
      <c r="F295" s="16">
        <f t="shared" si="220"/>
        <v>17463502.219999999</v>
      </c>
      <c r="G295" s="16">
        <f t="shared" si="220"/>
        <v>18325774.66</v>
      </c>
      <c r="H295" s="16">
        <f>SUM(H296:H299)</f>
        <v>25040022.159999996</v>
      </c>
      <c r="I295" s="16">
        <f t="shared" si="220"/>
        <v>2514310.8100000015</v>
      </c>
      <c r="J295" s="16">
        <f t="shared" ref="J295:O295" si="221">SUM(J296:J299)</f>
        <v>15325424.65</v>
      </c>
      <c r="K295" s="16">
        <f t="shared" si="221"/>
        <v>20699965.960000001</v>
      </c>
      <c r="L295" s="16">
        <f t="shared" si="221"/>
        <v>27456736.77</v>
      </c>
      <c r="M295" s="16">
        <f t="shared" si="221"/>
        <v>31003203.329999998</v>
      </c>
      <c r="N295" s="16">
        <f t="shared" si="221"/>
        <v>27548096</v>
      </c>
      <c r="O295" s="16">
        <f t="shared" si="221"/>
        <v>28143296</v>
      </c>
      <c r="P295" s="16">
        <f t="shared" ref="P295:S295" si="222">SUM(P296:P299)</f>
        <v>28815296</v>
      </c>
      <c r="Q295" s="16">
        <f t="shared" si="222"/>
        <v>29498810.729999997</v>
      </c>
      <c r="R295" s="16">
        <f t="shared" si="222"/>
        <v>29498810.729999997</v>
      </c>
      <c r="S295" s="16">
        <f t="shared" si="222"/>
        <v>29498810.729999997</v>
      </c>
      <c r="T295" s="12"/>
      <c r="U295" s="2"/>
    </row>
    <row r="296" spans="1:21" s="5" customFormat="1" ht="14.25" x14ac:dyDescent="0.2">
      <c r="A296" s="13">
        <v>284</v>
      </c>
      <c r="B296" s="14" t="s">
        <v>8</v>
      </c>
      <c r="C296" s="16">
        <f>SUM(D296:S296)</f>
        <v>0</v>
      </c>
      <c r="D296" s="16">
        <f t="shared" ref="D296:N299" si="223">D302</f>
        <v>0</v>
      </c>
      <c r="E296" s="16">
        <f t="shared" si="223"/>
        <v>0</v>
      </c>
      <c r="F296" s="16">
        <f t="shared" si="223"/>
        <v>0</v>
      </c>
      <c r="G296" s="16">
        <f t="shared" si="223"/>
        <v>0</v>
      </c>
      <c r="H296" s="16">
        <f t="shared" si="223"/>
        <v>0</v>
      </c>
      <c r="I296" s="16">
        <f t="shared" si="223"/>
        <v>0</v>
      </c>
      <c r="J296" s="16">
        <f t="shared" ref="J296:O296" si="224">J302</f>
        <v>0</v>
      </c>
      <c r="K296" s="16">
        <f t="shared" si="224"/>
        <v>0</v>
      </c>
      <c r="L296" s="16">
        <f t="shared" si="224"/>
        <v>0</v>
      </c>
      <c r="M296" s="16">
        <f t="shared" si="224"/>
        <v>0</v>
      </c>
      <c r="N296" s="16">
        <f t="shared" si="224"/>
        <v>0</v>
      </c>
      <c r="O296" s="16">
        <f t="shared" si="224"/>
        <v>0</v>
      </c>
      <c r="P296" s="16">
        <f t="shared" ref="P296:S296" si="225">P302</f>
        <v>0</v>
      </c>
      <c r="Q296" s="16">
        <f t="shared" si="225"/>
        <v>0</v>
      </c>
      <c r="R296" s="16">
        <f t="shared" si="225"/>
        <v>0</v>
      </c>
      <c r="S296" s="16">
        <f t="shared" si="225"/>
        <v>0</v>
      </c>
      <c r="T296" s="12"/>
      <c r="U296" s="2"/>
    </row>
    <row r="297" spans="1:21" s="5" customFormat="1" ht="14.25" x14ac:dyDescent="0.2">
      <c r="A297" s="13">
        <v>285</v>
      </c>
      <c r="B297" s="14" t="s">
        <v>9</v>
      </c>
      <c r="C297" s="16">
        <f t="shared" ref="C297:C299" si="226">SUM(D297:S297)</f>
        <v>226045033.88</v>
      </c>
      <c r="D297" s="16">
        <f t="shared" si="223"/>
        <v>9218000</v>
      </c>
      <c r="E297" s="16">
        <f t="shared" si="223"/>
        <v>9218000</v>
      </c>
      <c r="F297" s="16">
        <f t="shared" si="223"/>
        <v>10941800</v>
      </c>
      <c r="G297" s="16">
        <f t="shared" si="223"/>
        <v>11367200</v>
      </c>
      <c r="H297" s="16">
        <f>H303+H323</f>
        <v>14358600</v>
      </c>
      <c r="I297" s="16">
        <f>I303+I323</f>
        <v>1135933.8800000008</v>
      </c>
      <c r="J297" s="16">
        <f>J303+J323+J308</f>
        <v>10969900</v>
      </c>
      <c r="K297" s="16">
        <f>K303+K323</f>
        <v>15083800</v>
      </c>
      <c r="L297" s="16">
        <f>L303+L318+L323+L328</f>
        <v>18498800</v>
      </c>
      <c r="M297" s="16">
        <f>M303+M323+M318</f>
        <v>20354700</v>
      </c>
      <c r="N297" s="16">
        <f t="shared" ref="N297:O297" si="227">N303+N318+N323+N328</f>
        <v>16150200</v>
      </c>
      <c r="O297" s="16">
        <f t="shared" si="227"/>
        <v>16796400</v>
      </c>
      <c r="P297" s="16">
        <f t="shared" ref="P297:S297" si="228">P303+P318+P323+P328</f>
        <v>17468400</v>
      </c>
      <c r="Q297" s="16">
        <f t="shared" si="228"/>
        <v>18161100</v>
      </c>
      <c r="R297" s="16">
        <f t="shared" si="228"/>
        <v>18161100</v>
      </c>
      <c r="S297" s="16">
        <f t="shared" si="228"/>
        <v>18161100</v>
      </c>
      <c r="T297" s="12"/>
      <c r="U297" s="2"/>
    </row>
    <row r="298" spans="1:21" s="5" customFormat="1" ht="14.25" x14ac:dyDescent="0.2">
      <c r="A298" s="13">
        <v>286</v>
      </c>
      <c r="B298" s="14" t="s">
        <v>10</v>
      </c>
      <c r="C298" s="16">
        <f t="shared" si="226"/>
        <v>110466477.91999999</v>
      </c>
      <c r="D298" s="16">
        <f t="shared" si="223"/>
        <v>7359803.3799999999</v>
      </c>
      <c r="E298" s="16">
        <f t="shared" si="223"/>
        <v>4841940.5</v>
      </c>
      <c r="F298" s="16">
        <f t="shared" si="223"/>
        <v>6100255.2199999997</v>
      </c>
      <c r="G298" s="16">
        <f t="shared" si="223"/>
        <v>6296706.1299999999</v>
      </c>
      <c r="H298" s="16">
        <f>H304+H324</f>
        <v>6892031.1499999994</v>
      </c>
      <c r="I298" s="16">
        <f>I304+I324</f>
        <v>1375121.9300000006</v>
      </c>
      <c r="J298" s="16">
        <f>J304+J324</f>
        <v>852362.41999999993</v>
      </c>
      <c r="K298" s="16">
        <f>K304+K324+K329</f>
        <v>3709381.5</v>
      </c>
      <c r="L298" s="16">
        <f>L304+L324</f>
        <v>7675422.5700000003</v>
      </c>
      <c r="M298" s="16">
        <f t="shared" ref="M298:O298" si="229">M304+M324</f>
        <v>9382703.3300000001</v>
      </c>
      <c r="N298" s="16">
        <f>N304+N324+N329</f>
        <v>9377217.5999999996</v>
      </c>
      <c r="O298" s="16">
        <f t="shared" si="229"/>
        <v>9326217.5999999996</v>
      </c>
      <c r="P298" s="16">
        <f t="shared" ref="P298:S298" si="230">P304+P324</f>
        <v>9326217.5999999996</v>
      </c>
      <c r="Q298" s="16">
        <f t="shared" si="230"/>
        <v>9317032.3300000001</v>
      </c>
      <c r="R298" s="16">
        <f t="shared" si="230"/>
        <v>9317032.3300000001</v>
      </c>
      <c r="S298" s="16">
        <f t="shared" si="230"/>
        <v>9317032.3300000001</v>
      </c>
      <c r="T298" s="12"/>
      <c r="U298" s="2"/>
    </row>
    <row r="299" spans="1:21" s="5" customFormat="1" ht="14.25" x14ac:dyDescent="0.2">
      <c r="A299" s="13">
        <v>287</v>
      </c>
      <c r="B299" s="14" t="s">
        <v>11</v>
      </c>
      <c r="C299" s="16">
        <f t="shared" si="226"/>
        <v>24958292.829999994</v>
      </c>
      <c r="D299" s="16">
        <f t="shared" si="223"/>
        <v>0</v>
      </c>
      <c r="E299" s="16">
        <f t="shared" si="223"/>
        <v>0</v>
      </c>
      <c r="F299" s="16">
        <f t="shared" si="223"/>
        <v>421447</v>
      </c>
      <c r="G299" s="16">
        <f t="shared" si="223"/>
        <v>661868.53</v>
      </c>
      <c r="H299" s="16">
        <f t="shared" si="223"/>
        <v>3789391.01</v>
      </c>
      <c r="I299" s="16">
        <f>I305</f>
        <v>3255</v>
      </c>
      <c r="J299" s="16">
        <f>J305+J310+J325</f>
        <v>3503162.2300000004</v>
      </c>
      <c r="K299" s="16">
        <f t="shared" si="223"/>
        <v>1906784.46</v>
      </c>
      <c r="L299" s="16">
        <f t="shared" si="223"/>
        <v>1282514.2</v>
      </c>
      <c r="M299" s="16">
        <f>M305</f>
        <v>1265800</v>
      </c>
      <c r="N299" s="16">
        <f t="shared" si="223"/>
        <v>2020678.4</v>
      </c>
      <c r="O299" s="16">
        <f t="shared" ref="O299:S299" si="231">O305</f>
        <v>2020678.4</v>
      </c>
      <c r="P299" s="16">
        <f t="shared" si="231"/>
        <v>2020678.4</v>
      </c>
      <c r="Q299" s="16">
        <f t="shared" si="231"/>
        <v>2020678.4</v>
      </c>
      <c r="R299" s="16">
        <f t="shared" si="231"/>
        <v>2020678.4</v>
      </c>
      <c r="S299" s="16">
        <f t="shared" si="231"/>
        <v>2020678.4</v>
      </c>
      <c r="T299" s="12"/>
      <c r="U299" s="2"/>
    </row>
    <row r="300" spans="1:21" s="42" customFormat="1" x14ac:dyDescent="0.2">
      <c r="A300" s="43">
        <v>1</v>
      </c>
      <c r="B300" s="43">
        <v>2</v>
      </c>
      <c r="C300" s="43">
        <v>3</v>
      </c>
      <c r="D300" s="43">
        <v>4</v>
      </c>
      <c r="E300" s="43">
        <v>5</v>
      </c>
      <c r="F300" s="43">
        <v>6</v>
      </c>
      <c r="G300" s="43">
        <v>7</v>
      </c>
      <c r="H300" s="43">
        <v>8</v>
      </c>
      <c r="I300" s="43">
        <v>9</v>
      </c>
      <c r="J300" s="43">
        <v>10</v>
      </c>
      <c r="K300" s="43">
        <v>11</v>
      </c>
      <c r="L300" s="43">
        <v>12</v>
      </c>
      <c r="M300" s="43">
        <v>13</v>
      </c>
      <c r="N300" s="43">
        <v>14</v>
      </c>
      <c r="O300" s="43">
        <v>15</v>
      </c>
      <c r="P300" s="43">
        <v>16</v>
      </c>
      <c r="Q300" s="43">
        <v>17</v>
      </c>
      <c r="R300" s="43">
        <v>18</v>
      </c>
      <c r="S300" s="43">
        <v>19</v>
      </c>
      <c r="T300" s="43">
        <v>20</v>
      </c>
      <c r="U300" s="2"/>
    </row>
    <row r="301" spans="1:21" s="5" customFormat="1" ht="64.5" customHeight="1" x14ac:dyDescent="0.2">
      <c r="A301" s="13">
        <v>288</v>
      </c>
      <c r="B301" s="18" t="s">
        <v>158</v>
      </c>
      <c r="C301" s="17">
        <f>SUM(D301:S301)</f>
        <v>335331804.63000005</v>
      </c>
      <c r="D301" s="17">
        <f t="shared" ref="D301:N301" si="232">SUM(D302:D305)</f>
        <v>16577803.379999999</v>
      </c>
      <c r="E301" s="17">
        <f t="shared" si="232"/>
        <v>14059940.5</v>
      </c>
      <c r="F301" s="17">
        <f t="shared" si="232"/>
        <v>17463502.219999999</v>
      </c>
      <c r="G301" s="17">
        <f t="shared" si="232"/>
        <v>18325774.66</v>
      </c>
      <c r="H301" s="17">
        <f t="shared" si="232"/>
        <v>23491622.159999996</v>
      </c>
      <c r="I301" s="17">
        <f t="shared" si="232"/>
        <v>2514310.8100000015</v>
      </c>
      <c r="J301" s="17">
        <f>SUM(J302:J305)</f>
        <v>13719724.65</v>
      </c>
      <c r="K301" s="17">
        <f t="shared" si="232"/>
        <v>19044965.960000001</v>
      </c>
      <c r="L301" s="17">
        <f>SUM(L302:L305)</f>
        <v>22805736.77</v>
      </c>
      <c r="M301" s="17">
        <f>SUM(M302:M305)</f>
        <v>25635503.329999998</v>
      </c>
      <c r="N301" s="17">
        <f t="shared" si="232"/>
        <v>25765596</v>
      </c>
      <c r="O301" s="17">
        <f t="shared" ref="O301:S301" si="233">SUM(O302:O305)</f>
        <v>26342596</v>
      </c>
      <c r="P301" s="17">
        <f t="shared" si="233"/>
        <v>26942496</v>
      </c>
      <c r="Q301" s="17">
        <f t="shared" si="233"/>
        <v>27547410.729999997</v>
      </c>
      <c r="R301" s="17">
        <f t="shared" si="233"/>
        <v>27547410.729999997</v>
      </c>
      <c r="S301" s="17">
        <f t="shared" si="233"/>
        <v>27547410.729999997</v>
      </c>
      <c r="T301" s="8" t="s">
        <v>94</v>
      </c>
      <c r="U301" s="2"/>
    </row>
    <row r="302" spans="1:21" s="5" customFormat="1" ht="14.25" x14ac:dyDescent="0.2">
      <c r="A302" s="13">
        <v>289</v>
      </c>
      <c r="B302" s="14" t="s">
        <v>8</v>
      </c>
      <c r="C302" s="16">
        <f>SUM(D302:S302)</f>
        <v>0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8"/>
      <c r="U302" s="2"/>
    </row>
    <row r="303" spans="1:21" s="5" customFormat="1" ht="14.25" x14ac:dyDescent="0.2">
      <c r="A303" s="13">
        <v>290</v>
      </c>
      <c r="B303" s="14" t="s">
        <v>9</v>
      </c>
      <c r="C303" s="16">
        <f t="shared" ref="C303:C305" si="234">SUM(D303:S303)</f>
        <v>200010033.88</v>
      </c>
      <c r="D303" s="16">
        <v>9218000</v>
      </c>
      <c r="E303" s="16">
        <v>9218000</v>
      </c>
      <c r="F303" s="16">
        <f>9985300+956500</f>
        <v>10941800</v>
      </c>
      <c r="G303" s="16">
        <v>11367200</v>
      </c>
      <c r="H303" s="16">
        <f>12166900+643300</f>
        <v>12810200</v>
      </c>
      <c r="I303" s="16">
        <f>12416100-11280166.12</f>
        <v>1135933.8800000008</v>
      </c>
      <c r="J303" s="16">
        <f>12912800+130700-3679300</f>
        <v>9364200</v>
      </c>
      <c r="K303" s="16">
        <f>13323300+157500</f>
        <v>13480800</v>
      </c>
      <c r="L303" s="16">
        <v>13847800</v>
      </c>
      <c r="M303" s="16">
        <v>14987000</v>
      </c>
      <c r="N303" s="16">
        <v>14418700</v>
      </c>
      <c r="O303" s="16">
        <v>14995700</v>
      </c>
      <c r="P303" s="16">
        <v>15595600</v>
      </c>
      <c r="Q303" s="16">
        <v>16209700</v>
      </c>
      <c r="R303" s="16">
        <v>16209700</v>
      </c>
      <c r="S303" s="16">
        <v>16209700</v>
      </c>
      <c r="T303" s="21"/>
      <c r="U303" s="2"/>
    </row>
    <row r="304" spans="1:21" s="5" customFormat="1" ht="14.25" x14ac:dyDescent="0.2">
      <c r="A304" s="13">
        <v>291</v>
      </c>
      <c r="B304" s="14" t="s">
        <v>10</v>
      </c>
      <c r="C304" s="16">
        <f t="shared" si="234"/>
        <v>110363477.91999999</v>
      </c>
      <c r="D304" s="16">
        <v>7359803.3799999999</v>
      </c>
      <c r="E304" s="16">
        <v>4841940.5</v>
      </c>
      <c r="F304" s="16">
        <f>7955733-1855477.78</f>
        <v>6100255.2199999997</v>
      </c>
      <c r="G304" s="16">
        <f>7691447.7+153399.56+1876.8-16159-1533858.93</f>
        <v>6296706.1299999999</v>
      </c>
      <c r="H304" s="16">
        <f>6846724.06+122247-76939.91</f>
        <v>6892031.1499999994</v>
      </c>
      <c r="I304" s="16">
        <f>8911802.9+162185-7436565.97-193000-69300</f>
        <v>1375121.9300000006</v>
      </c>
      <c r="J304" s="16">
        <f>7120593-6120593-279470.03+J309</f>
        <v>852362.41999999993</v>
      </c>
      <c r="K304" s="16">
        <f>K309+3617264.9</f>
        <v>3657381.5</v>
      </c>
      <c r="L304" s="16">
        <v>7675422.5700000003</v>
      </c>
      <c r="M304" s="16">
        <v>9382703.3300000001</v>
      </c>
      <c r="N304" s="16">
        <v>9326217.5999999996</v>
      </c>
      <c r="O304" s="16">
        <v>9326217.5999999996</v>
      </c>
      <c r="P304" s="16">
        <v>9326217.5999999996</v>
      </c>
      <c r="Q304" s="16">
        <v>9317032.3300000001</v>
      </c>
      <c r="R304" s="16">
        <v>9317032.3300000001</v>
      </c>
      <c r="S304" s="16">
        <v>9317032.3300000001</v>
      </c>
      <c r="T304" s="21"/>
      <c r="U304" s="2"/>
    </row>
    <row r="305" spans="1:22" s="5" customFormat="1" ht="14.25" x14ac:dyDescent="0.2">
      <c r="A305" s="13">
        <v>292</v>
      </c>
      <c r="B305" s="14" t="s">
        <v>11</v>
      </c>
      <c r="C305" s="16">
        <f t="shared" si="234"/>
        <v>24958292.829999994</v>
      </c>
      <c r="D305" s="16">
        <v>0</v>
      </c>
      <c r="E305" s="16">
        <v>0</v>
      </c>
      <c r="F305" s="16">
        <v>421447</v>
      </c>
      <c r="G305" s="16">
        <v>661868.53</v>
      </c>
      <c r="H305" s="16">
        <v>3789391.01</v>
      </c>
      <c r="I305" s="16">
        <v>3255</v>
      </c>
      <c r="J305" s="16">
        <f>4037439.6+9883.6-544160.97</f>
        <v>3503162.2300000004</v>
      </c>
      <c r="K305" s="16">
        <v>1906784.46</v>
      </c>
      <c r="L305" s="16">
        <f>252967.2+1029547</f>
        <v>1282514.2</v>
      </c>
      <c r="M305" s="16">
        <v>1265800</v>
      </c>
      <c r="N305" s="16">
        <v>2020678.4</v>
      </c>
      <c r="O305" s="16">
        <v>2020678.4</v>
      </c>
      <c r="P305" s="16">
        <v>2020678.4</v>
      </c>
      <c r="Q305" s="16">
        <v>2020678.4</v>
      </c>
      <c r="R305" s="16">
        <v>2020678.4</v>
      </c>
      <c r="S305" s="16">
        <v>2020678.4</v>
      </c>
      <c r="T305" s="8"/>
      <c r="U305" s="2"/>
      <c r="V305" s="2"/>
    </row>
    <row r="306" spans="1:22" s="5" customFormat="1" ht="57" x14ac:dyDescent="0.2">
      <c r="A306" s="13">
        <v>293</v>
      </c>
      <c r="B306" s="18" t="s">
        <v>82</v>
      </c>
      <c r="C306" s="17">
        <f>SUM(D306:S306)</f>
        <v>197503.44999999998</v>
      </c>
      <c r="D306" s="16">
        <f t="shared" ref="D306:J306" si="235">SUM(D307:D310)</f>
        <v>0</v>
      </c>
      <c r="E306" s="16">
        <f t="shared" si="235"/>
        <v>0</v>
      </c>
      <c r="F306" s="16">
        <f t="shared" si="235"/>
        <v>0</v>
      </c>
      <c r="G306" s="16">
        <f t="shared" si="235"/>
        <v>0</v>
      </c>
      <c r="H306" s="16">
        <f t="shared" si="235"/>
        <v>0</v>
      </c>
      <c r="I306" s="16">
        <f t="shared" si="235"/>
        <v>0</v>
      </c>
      <c r="J306" s="16">
        <f t="shared" si="235"/>
        <v>131832.44999999998</v>
      </c>
      <c r="K306" s="16"/>
      <c r="L306" s="16"/>
      <c r="M306" s="17">
        <f>M307+M308+M309+M310</f>
        <v>65671</v>
      </c>
      <c r="N306" s="16"/>
      <c r="O306" s="16"/>
      <c r="P306" s="16"/>
      <c r="Q306" s="16"/>
      <c r="R306" s="16"/>
      <c r="S306" s="16"/>
      <c r="T306" s="8" t="s">
        <v>94</v>
      </c>
      <c r="U306" s="2"/>
    </row>
    <row r="307" spans="1:22" s="5" customFormat="1" ht="14.25" x14ac:dyDescent="0.2">
      <c r="A307" s="13">
        <v>294</v>
      </c>
      <c r="B307" s="14" t="s">
        <v>8</v>
      </c>
      <c r="C307" s="16">
        <f>SUM(D307:S307)</f>
        <v>0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8"/>
      <c r="U307" s="2"/>
    </row>
    <row r="308" spans="1:22" s="5" customFormat="1" ht="14.25" x14ac:dyDescent="0.2">
      <c r="A308" s="13">
        <v>295</v>
      </c>
      <c r="B308" s="14" t="s">
        <v>9</v>
      </c>
      <c r="C308" s="16">
        <f t="shared" ref="C308:C310" si="236">SUM(D308:S308)</f>
        <v>0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8"/>
      <c r="U308" s="2"/>
    </row>
    <row r="309" spans="1:22" s="5" customFormat="1" ht="14.25" x14ac:dyDescent="0.2">
      <c r="A309" s="13">
        <v>296</v>
      </c>
      <c r="B309" s="14" t="s">
        <v>10</v>
      </c>
      <c r="C309" s="16">
        <f t="shared" si="236"/>
        <v>237620.05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6">
        <f>170835.28-34510.88-4491.95</f>
        <v>131832.44999999998</v>
      </c>
      <c r="K309" s="16">
        <v>40116.6</v>
      </c>
      <c r="L309" s="16">
        <v>0</v>
      </c>
      <c r="M309" s="16">
        <v>65671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8"/>
      <c r="U309" s="2"/>
    </row>
    <row r="310" spans="1:22" s="5" customFormat="1" ht="14.25" x14ac:dyDescent="0.2">
      <c r="A310" s="13">
        <v>297</v>
      </c>
      <c r="B310" s="14" t="s">
        <v>11</v>
      </c>
      <c r="C310" s="16">
        <f t="shared" si="236"/>
        <v>0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8"/>
      <c r="U310" s="2"/>
    </row>
    <row r="311" spans="1:22" s="5" customFormat="1" ht="114" x14ac:dyDescent="0.2">
      <c r="A311" s="13">
        <v>298</v>
      </c>
      <c r="B311" s="18" t="s">
        <v>90</v>
      </c>
      <c r="C311" s="17">
        <f>SUM(D311:S311)</f>
        <v>0</v>
      </c>
      <c r="D311" s="17">
        <f t="shared" ref="D311:I311" si="237">SUM(D312:D315)</f>
        <v>0</v>
      </c>
      <c r="E311" s="17">
        <f t="shared" si="237"/>
        <v>0</v>
      </c>
      <c r="F311" s="17">
        <f t="shared" si="237"/>
        <v>0</v>
      </c>
      <c r="G311" s="17">
        <f t="shared" si="237"/>
        <v>0</v>
      </c>
      <c r="H311" s="17">
        <f t="shared" si="237"/>
        <v>0</v>
      </c>
      <c r="I311" s="17">
        <f t="shared" si="237"/>
        <v>0</v>
      </c>
      <c r="J311" s="17">
        <f>SUM(J312:J315)</f>
        <v>0</v>
      </c>
      <c r="K311" s="17">
        <f t="shared" ref="K311:M311" si="238">SUM(K312:K315)</f>
        <v>0</v>
      </c>
      <c r="L311" s="17">
        <f t="shared" si="238"/>
        <v>0</v>
      </c>
      <c r="M311" s="17">
        <f t="shared" si="238"/>
        <v>0</v>
      </c>
      <c r="N311" s="17">
        <f>N312+N313+N314+N315</f>
        <v>0</v>
      </c>
      <c r="O311" s="17">
        <f t="shared" ref="O311:S311" si="239">SUM(O312:O315)</f>
        <v>0</v>
      </c>
      <c r="P311" s="17">
        <f t="shared" si="239"/>
        <v>0</v>
      </c>
      <c r="Q311" s="17">
        <f t="shared" si="239"/>
        <v>0</v>
      </c>
      <c r="R311" s="17">
        <f t="shared" si="239"/>
        <v>0</v>
      </c>
      <c r="S311" s="17">
        <f t="shared" si="239"/>
        <v>0</v>
      </c>
      <c r="T311" s="8">
        <v>0</v>
      </c>
      <c r="U311" s="2"/>
    </row>
    <row r="312" spans="1:22" s="5" customFormat="1" ht="14.25" x14ac:dyDescent="0.2">
      <c r="A312" s="13">
        <v>299</v>
      </c>
      <c r="B312" s="14" t="s">
        <v>8</v>
      </c>
      <c r="C312" s="16">
        <f>SUM(D312:S312)</f>
        <v>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8"/>
      <c r="U312" s="2"/>
    </row>
    <row r="313" spans="1:22" s="5" customFormat="1" ht="14.25" x14ac:dyDescent="0.2">
      <c r="A313" s="13">
        <v>300</v>
      </c>
      <c r="B313" s="14" t="s">
        <v>9</v>
      </c>
      <c r="C313" s="16">
        <f t="shared" ref="C313:C315" si="240">SUM(D313:S313)</f>
        <v>0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8"/>
      <c r="U313" s="2"/>
    </row>
    <row r="314" spans="1:22" s="5" customFormat="1" ht="14.25" x14ac:dyDescent="0.2">
      <c r="A314" s="13">
        <v>301</v>
      </c>
      <c r="B314" s="14" t="s">
        <v>10</v>
      </c>
      <c r="C314" s="16">
        <f t="shared" si="240"/>
        <v>0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8"/>
      <c r="U314" s="2"/>
    </row>
    <row r="315" spans="1:22" s="5" customFormat="1" ht="14.25" x14ac:dyDescent="0.2">
      <c r="A315" s="13">
        <v>302</v>
      </c>
      <c r="B315" s="14" t="s">
        <v>11</v>
      </c>
      <c r="C315" s="16">
        <f t="shared" si="240"/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8"/>
      <c r="U315" s="2"/>
    </row>
    <row r="316" spans="1:22" s="5" customFormat="1" ht="85.5" x14ac:dyDescent="0.2">
      <c r="A316" s="13">
        <v>303</v>
      </c>
      <c r="B316" s="18" t="s">
        <v>160</v>
      </c>
      <c r="C316" s="17">
        <f>SUM(D316:S316)</f>
        <v>6558500</v>
      </c>
      <c r="D316" s="17">
        <f t="shared" ref="D316:O316" si="241">D317+D318+D319+D320</f>
        <v>0</v>
      </c>
      <c r="E316" s="17">
        <f t="shared" si="241"/>
        <v>0</v>
      </c>
      <c r="F316" s="17">
        <f t="shared" si="241"/>
        <v>0</v>
      </c>
      <c r="G316" s="17">
        <f t="shared" si="241"/>
        <v>0</v>
      </c>
      <c r="H316" s="17">
        <f t="shared" si="241"/>
        <v>0</v>
      </c>
      <c r="I316" s="17">
        <f t="shared" si="241"/>
        <v>0</v>
      </c>
      <c r="J316" s="17">
        <f t="shared" si="241"/>
        <v>0</v>
      </c>
      <c r="K316" s="17">
        <f t="shared" si="241"/>
        <v>0</v>
      </c>
      <c r="L316" s="17">
        <f t="shared" si="241"/>
        <v>2995000</v>
      </c>
      <c r="M316" s="31">
        <f t="shared" si="241"/>
        <v>3563500</v>
      </c>
      <c r="N316" s="17">
        <f t="shared" si="241"/>
        <v>0</v>
      </c>
      <c r="O316" s="17">
        <f t="shared" si="241"/>
        <v>0</v>
      </c>
      <c r="P316" s="17">
        <f t="shared" ref="P316:S316" si="242">P317+P318+P319+P320</f>
        <v>0</v>
      </c>
      <c r="Q316" s="17">
        <f t="shared" si="242"/>
        <v>0</v>
      </c>
      <c r="R316" s="17">
        <f t="shared" si="242"/>
        <v>0</v>
      </c>
      <c r="S316" s="17">
        <f t="shared" si="242"/>
        <v>0</v>
      </c>
      <c r="T316" s="8" t="s">
        <v>96</v>
      </c>
      <c r="U316" s="2"/>
    </row>
    <row r="317" spans="1:22" s="5" customFormat="1" ht="14.25" x14ac:dyDescent="0.2">
      <c r="A317" s="13">
        <v>304</v>
      </c>
      <c r="B317" s="14" t="s">
        <v>8</v>
      </c>
      <c r="C317" s="16">
        <f>SUM(D317:S317)</f>
        <v>0</v>
      </c>
      <c r="D317" s="16"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32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8"/>
      <c r="U317" s="2"/>
    </row>
    <row r="318" spans="1:22" s="5" customFormat="1" ht="14.25" x14ac:dyDescent="0.2">
      <c r="A318" s="13">
        <v>305</v>
      </c>
      <c r="B318" s="14" t="s">
        <v>9</v>
      </c>
      <c r="C318" s="16">
        <f t="shared" ref="C318:C320" si="243">SUM(D318:S318)</f>
        <v>6558500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2995000</v>
      </c>
      <c r="M318" s="32">
        <v>3563500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8"/>
      <c r="U318" s="2"/>
    </row>
    <row r="319" spans="1:22" s="5" customFormat="1" ht="14.25" x14ac:dyDescent="0.2">
      <c r="A319" s="13">
        <v>306</v>
      </c>
      <c r="B319" s="14" t="s">
        <v>10</v>
      </c>
      <c r="C319" s="16">
        <f t="shared" si="243"/>
        <v>0</v>
      </c>
      <c r="D319" s="16"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32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8"/>
      <c r="U319" s="2"/>
    </row>
    <row r="320" spans="1:22" s="5" customFormat="1" ht="14.25" x14ac:dyDescent="0.2">
      <c r="A320" s="13">
        <v>307</v>
      </c>
      <c r="B320" s="14" t="s">
        <v>11</v>
      </c>
      <c r="C320" s="16">
        <f t="shared" si="243"/>
        <v>0</v>
      </c>
      <c r="D320" s="16">
        <v>0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6">
        <v>0</v>
      </c>
      <c r="K320" s="16">
        <v>0</v>
      </c>
      <c r="L320" s="16">
        <v>0</v>
      </c>
      <c r="M320" s="32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8"/>
      <c r="U320" s="2"/>
    </row>
    <row r="321" spans="1:22" s="5" customFormat="1" ht="93.75" customHeight="1" x14ac:dyDescent="0.2">
      <c r="A321" s="13">
        <v>308</v>
      </c>
      <c r="B321" s="18" t="s">
        <v>132</v>
      </c>
      <c r="C321" s="17">
        <f>SUM(D321:S321)</f>
        <v>19476500</v>
      </c>
      <c r="D321" s="17">
        <f t="shared" ref="D321:N321" si="244">SUM(D322:D325)</f>
        <v>0</v>
      </c>
      <c r="E321" s="17">
        <f t="shared" si="244"/>
        <v>0</v>
      </c>
      <c r="F321" s="17">
        <f t="shared" si="244"/>
        <v>0</v>
      </c>
      <c r="G321" s="17">
        <f t="shared" si="244"/>
        <v>0</v>
      </c>
      <c r="H321" s="17">
        <f t="shared" si="244"/>
        <v>1548400</v>
      </c>
      <c r="I321" s="17">
        <f t="shared" si="244"/>
        <v>0</v>
      </c>
      <c r="J321" s="17">
        <f t="shared" si="244"/>
        <v>1605700</v>
      </c>
      <c r="K321" s="17">
        <f t="shared" si="244"/>
        <v>1603000</v>
      </c>
      <c r="L321" s="17">
        <f t="shared" si="244"/>
        <v>1656000</v>
      </c>
      <c r="M321" s="17">
        <f t="shared" si="244"/>
        <v>1804200</v>
      </c>
      <c r="N321" s="17">
        <f t="shared" si="244"/>
        <v>1731500</v>
      </c>
      <c r="O321" s="17">
        <f t="shared" ref="O321:S321" si="245">SUM(O322:O325)</f>
        <v>1800700</v>
      </c>
      <c r="P321" s="17">
        <f t="shared" si="245"/>
        <v>1872800</v>
      </c>
      <c r="Q321" s="17">
        <f t="shared" si="245"/>
        <v>1951400</v>
      </c>
      <c r="R321" s="17">
        <f t="shared" si="245"/>
        <v>1951400</v>
      </c>
      <c r="S321" s="17">
        <f t="shared" si="245"/>
        <v>1951400</v>
      </c>
      <c r="T321" s="8" t="s">
        <v>95</v>
      </c>
      <c r="U321" s="2"/>
    </row>
    <row r="322" spans="1:22" s="5" customFormat="1" ht="14.25" x14ac:dyDescent="0.2">
      <c r="A322" s="13">
        <v>309</v>
      </c>
      <c r="B322" s="14" t="s">
        <v>8</v>
      </c>
      <c r="C322" s="16">
        <f>SUM(D322:S322)</f>
        <v>0</v>
      </c>
      <c r="D322" s="16"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8"/>
      <c r="U322" s="2"/>
    </row>
    <row r="323" spans="1:22" s="5" customFormat="1" ht="14.25" x14ac:dyDescent="0.2">
      <c r="A323" s="13">
        <v>310</v>
      </c>
      <c r="B323" s="14" t="s">
        <v>9</v>
      </c>
      <c r="C323" s="16">
        <f t="shared" ref="C323:C325" si="246">SUM(D323:S323)</f>
        <v>19476500</v>
      </c>
      <c r="D323" s="16">
        <v>0</v>
      </c>
      <c r="E323" s="16">
        <v>0</v>
      </c>
      <c r="F323" s="16">
        <v>0</v>
      </c>
      <c r="G323" s="16">
        <v>0</v>
      </c>
      <c r="H323" s="16">
        <f>1488800+59600</f>
        <v>1548400</v>
      </c>
      <c r="I323" s="16">
        <f>1558400-1558400</f>
        <v>0</v>
      </c>
      <c r="J323" s="16">
        <f>1636400-30700</f>
        <v>1605700</v>
      </c>
      <c r="K323" s="16">
        <v>1603000</v>
      </c>
      <c r="L323" s="16">
        <v>1656000</v>
      </c>
      <c r="M323" s="16">
        <v>1804200</v>
      </c>
      <c r="N323" s="16">
        <v>1731500</v>
      </c>
      <c r="O323" s="16">
        <v>1800700</v>
      </c>
      <c r="P323" s="16">
        <v>1872800</v>
      </c>
      <c r="Q323" s="16">
        <v>1951400</v>
      </c>
      <c r="R323" s="16">
        <v>1951400</v>
      </c>
      <c r="S323" s="16">
        <v>1951400</v>
      </c>
      <c r="T323" s="21"/>
      <c r="U323" s="2"/>
      <c r="V323" s="2"/>
    </row>
    <row r="324" spans="1:22" s="5" customFormat="1" ht="14.25" x14ac:dyDescent="0.2">
      <c r="A324" s="13">
        <v>311</v>
      </c>
      <c r="B324" s="14" t="s">
        <v>10</v>
      </c>
      <c r="C324" s="16">
        <f t="shared" si="246"/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21"/>
      <c r="U324" s="2"/>
    </row>
    <row r="325" spans="1:22" s="5" customFormat="1" ht="14.25" x14ac:dyDescent="0.2">
      <c r="A325" s="13">
        <v>312</v>
      </c>
      <c r="B325" s="14" t="s">
        <v>11</v>
      </c>
      <c r="C325" s="16">
        <f t="shared" si="246"/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8"/>
      <c r="U325" s="2"/>
    </row>
    <row r="326" spans="1:22" s="5" customFormat="1" ht="109.5" customHeight="1" x14ac:dyDescent="0.2">
      <c r="A326" s="13">
        <v>313</v>
      </c>
      <c r="B326" s="18" t="s">
        <v>133</v>
      </c>
      <c r="C326" s="17">
        <f>SUM(D326:S326)</f>
        <v>103000</v>
      </c>
      <c r="D326" s="17">
        <f>SUM(D327:D330)</f>
        <v>0</v>
      </c>
      <c r="E326" s="17">
        <f t="shared" ref="E326:N326" si="247">SUM(E327:E330)</f>
        <v>0</v>
      </c>
      <c r="F326" s="17">
        <f t="shared" si="247"/>
        <v>0</v>
      </c>
      <c r="G326" s="17">
        <f t="shared" si="247"/>
        <v>0</v>
      </c>
      <c r="H326" s="17">
        <f t="shared" si="247"/>
        <v>0</v>
      </c>
      <c r="I326" s="17">
        <f t="shared" si="247"/>
        <v>0</v>
      </c>
      <c r="J326" s="17">
        <f t="shared" si="247"/>
        <v>0</v>
      </c>
      <c r="K326" s="17">
        <f t="shared" si="247"/>
        <v>52000</v>
      </c>
      <c r="L326" s="17">
        <f t="shared" si="247"/>
        <v>0</v>
      </c>
      <c r="M326" s="17">
        <f t="shared" si="247"/>
        <v>0</v>
      </c>
      <c r="N326" s="17">
        <f t="shared" si="247"/>
        <v>51000</v>
      </c>
      <c r="O326" s="17">
        <f t="shared" ref="O326:S326" si="248">SUM(O327:O330)</f>
        <v>0</v>
      </c>
      <c r="P326" s="17">
        <f t="shared" si="248"/>
        <v>0</v>
      </c>
      <c r="Q326" s="17">
        <f t="shared" si="248"/>
        <v>0</v>
      </c>
      <c r="R326" s="17">
        <f t="shared" si="248"/>
        <v>0</v>
      </c>
      <c r="S326" s="17">
        <f t="shared" si="248"/>
        <v>0</v>
      </c>
      <c r="T326" s="27" t="s">
        <v>97</v>
      </c>
      <c r="U326" s="2"/>
    </row>
    <row r="327" spans="1:22" s="5" customFormat="1" ht="14.25" x14ac:dyDescent="0.2">
      <c r="A327" s="13">
        <v>314</v>
      </c>
      <c r="B327" s="14" t="s">
        <v>8</v>
      </c>
      <c r="C327" s="16">
        <f>SUM(D327:S327)</f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28"/>
      <c r="U327" s="2"/>
    </row>
    <row r="328" spans="1:22" s="5" customFormat="1" ht="14.25" x14ac:dyDescent="0.2">
      <c r="A328" s="13">
        <v>315</v>
      </c>
      <c r="B328" s="14" t="s">
        <v>9</v>
      </c>
      <c r="C328" s="16">
        <f t="shared" ref="C328:C330" si="249">SUM(D328:S328)</f>
        <v>0</v>
      </c>
      <c r="D328" s="16">
        <v>0</v>
      </c>
      <c r="E328" s="16">
        <v>0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26"/>
      <c r="U328" s="2"/>
    </row>
    <row r="329" spans="1:22" s="5" customFormat="1" ht="14.25" x14ac:dyDescent="0.2">
      <c r="A329" s="13">
        <v>316</v>
      </c>
      <c r="B329" s="14" t="s">
        <v>10</v>
      </c>
      <c r="C329" s="16">
        <f t="shared" si="249"/>
        <v>103000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52000</v>
      </c>
      <c r="L329" s="16">
        <v>0</v>
      </c>
      <c r="M329" s="16">
        <v>0</v>
      </c>
      <c r="N329" s="16">
        <v>51000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26"/>
      <c r="U329" s="2"/>
    </row>
    <row r="330" spans="1:22" s="5" customFormat="1" ht="14.25" x14ac:dyDescent="0.2">
      <c r="A330" s="13">
        <v>317</v>
      </c>
      <c r="B330" s="14" t="s">
        <v>11</v>
      </c>
      <c r="C330" s="16">
        <f t="shared" si="249"/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26"/>
      <c r="U330" s="2"/>
    </row>
    <row r="331" spans="1:22" s="5" customFormat="1" ht="37.5" customHeight="1" x14ac:dyDescent="0.2">
      <c r="A331" s="13">
        <v>318</v>
      </c>
      <c r="B331" s="48" t="s">
        <v>148</v>
      </c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2"/>
    </row>
    <row r="332" spans="1:22" s="5" customFormat="1" ht="32.25" customHeight="1" x14ac:dyDescent="0.2">
      <c r="A332" s="13">
        <v>319</v>
      </c>
      <c r="B332" s="9" t="s">
        <v>35</v>
      </c>
      <c r="C332" s="17">
        <f>SUM(D332:S332)</f>
        <v>178240522.51000002</v>
      </c>
      <c r="D332" s="17">
        <f t="shared" ref="D332:I332" si="250">SUM(D333:D336)</f>
        <v>4764718.9399999995</v>
      </c>
      <c r="E332" s="17">
        <f t="shared" si="250"/>
        <v>16077598.859999999</v>
      </c>
      <c r="F332" s="17">
        <f t="shared" si="250"/>
        <v>13870390.789999999</v>
      </c>
      <c r="G332" s="17">
        <f t="shared" si="250"/>
        <v>18196022.550000004</v>
      </c>
      <c r="H332" s="17">
        <f t="shared" si="250"/>
        <v>14442488.139999999</v>
      </c>
      <c r="I332" s="17">
        <f t="shared" si="250"/>
        <v>14605432.700000001</v>
      </c>
      <c r="J332" s="17">
        <f t="shared" ref="J332:O332" si="251">SUM(J333:J336)</f>
        <v>8342614.5099999998</v>
      </c>
      <c r="K332" s="17">
        <f t="shared" si="251"/>
        <v>11597882.199999999</v>
      </c>
      <c r="L332" s="17">
        <f t="shared" si="251"/>
        <v>28374061.380000003</v>
      </c>
      <c r="M332" s="17">
        <f t="shared" si="251"/>
        <v>47969312.439999998</v>
      </c>
      <c r="N332" s="17">
        <f t="shared" si="251"/>
        <v>0</v>
      </c>
      <c r="O332" s="17">
        <f t="shared" si="251"/>
        <v>0</v>
      </c>
      <c r="P332" s="17">
        <f t="shared" ref="P332:S332" si="252">SUM(P333:P336)</f>
        <v>0</v>
      </c>
      <c r="Q332" s="17">
        <f t="shared" si="252"/>
        <v>0</v>
      </c>
      <c r="R332" s="17">
        <f t="shared" si="252"/>
        <v>0</v>
      </c>
      <c r="S332" s="17">
        <f t="shared" si="252"/>
        <v>0</v>
      </c>
      <c r="T332" s="12"/>
      <c r="U332" s="2"/>
    </row>
    <row r="333" spans="1:22" s="5" customFormat="1" ht="14.25" x14ac:dyDescent="0.2">
      <c r="A333" s="13">
        <v>320</v>
      </c>
      <c r="B333" s="14" t="s">
        <v>8</v>
      </c>
      <c r="C333" s="16">
        <f>SUM(D333:S333)</f>
        <v>545431</v>
      </c>
      <c r="D333" s="16">
        <f t="shared" ref="D333:N333" si="253">D339+D358</f>
        <v>545431</v>
      </c>
      <c r="E333" s="16">
        <f t="shared" si="253"/>
        <v>0</v>
      </c>
      <c r="F333" s="16">
        <f t="shared" si="253"/>
        <v>0</v>
      </c>
      <c r="G333" s="16">
        <f t="shared" si="253"/>
        <v>0</v>
      </c>
      <c r="H333" s="16">
        <f t="shared" si="253"/>
        <v>0</v>
      </c>
      <c r="I333" s="16">
        <f t="shared" si="253"/>
        <v>0</v>
      </c>
      <c r="J333" s="16">
        <f t="shared" si="253"/>
        <v>0</v>
      </c>
      <c r="K333" s="16">
        <f t="shared" si="253"/>
        <v>0</v>
      </c>
      <c r="L333" s="16">
        <f t="shared" si="253"/>
        <v>0</v>
      </c>
      <c r="M333" s="16">
        <f t="shared" si="253"/>
        <v>0</v>
      </c>
      <c r="N333" s="16">
        <f t="shared" si="253"/>
        <v>0</v>
      </c>
      <c r="O333" s="16">
        <f t="shared" ref="O333:S333" si="254">O339+O358</f>
        <v>0</v>
      </c>
      <c r="P333" s="16">
        <f t="shared" si="254"/>
        <v>0</v>
      </c>
      <c r="Q333" s="16">
        <f t="shared" si="254"/>
        <v>0</v>
      </c>
      <c r="R333" s="16">
        <f t="shared" si="254"/>
        <v>0</v>
      </c>
      <c r="S333" s="16">
        <f t="shared" si="254"/>
        <v>0</v>
      </c>
      <c r="T333" s="12"/>
      <c r="U333" s="2"/>
    </row>
    <row r="334" spans="1:22" s="5" customFormat="1" ht="14.25" x14ac:dyDescent="0.2">
      <c r="A334" s="13">
        <v>321</v>
      </c>
      <c r="B334" s="14" t="s">
        <v>9</v>
      </c>
      <c r="C334" s="16">
        <f t="shared" ref="C334:C336" si="255">SUM(D334:S334)</f>
        <v>22978447.649999999</v>
      </c>
      <c r="D334" s="16">
        <f t="shared" ref="D334:L334" si="256">D340+D359</f>
        <v>1282021</v>
      </c>
      <c r="E334" s="16">
        <f t="shared" si="256"/>
        <v>0</v>
      </c>
      <c r="F334" s="16">
        <f t="shared" si="256"/>
        <v>2175888.2199999997</v>
      </c>
      <c r="G334" s="16">
        <f t="shared" si="256"/>
        <v>551832.37</v>
      </c>
      <c r="H334" s="16">
        <f t="shared" si="256"/>
        <v>0</v>
      </c>
      <c r="I334" s="16">
        <f t="shared" si="256"/>
        <v>0</v>
      </c>
      <c r="J334" s="16">
        <f t="shared" si="256"/>
        <v>0</v>
      </c>
      <c r="K334" s="16">
        <f t="shared" si="256"/>
        <v>0</v>
      </c>
      <c r="L334" s="16">
        <f t="shared" si="256"/>
        <v>9373007.9000000004</v>
      </c>
      <c r="M334" s="16">
        <f>M359</f>
        <v>9595698.1600000001</v>
      </c>
      <c r="N334" s="16">
        <f>N340+N359</f>
        <v>0</v>
      </c>
      <c r="O334" s="16">
        <f t="shared" ref="O334:S334" si="257">O340+O359</f>
        <v>0</v>
      </c>
      <c r="P334" s="16">
        <f t="shared" si="257"/>
        <v>0</v>
      </c>
      <c r="Q334" s="16">
        <f t="shared" si="257"/>
        <v>0</v>
      </c>
      <c r="R334" s="16">
        <f t="shared" si="257"/>
        <v>0</v>
      </c>
      <c r="S334" s="16">
        <f t="shared" si="257"/>
        <v>0</v>
      </c>
      <c r="T334" s="12"/>
      <c r="U334" s="2"/>
    </row>
    <row r="335" spans="1:22" s="5" customFormat="1" ht="14.25" x14ac:dyDescent="0.2">
      <c r="A335" s="13">
        <v>322</v>
      </c>
      <c r="B335" s="14" t="s">
        <v>10</v>
      </c>
      <c r="C335" s="16">
        <f t="shared" si="255"/>
        <v>154716643.86000001</v>
      </c>
      <c r="D335" s="16">
        <f t="shared" ref="D335:L335" si="258">D341+D360</f>
        <v>2937266.94</v>
      </c>
      <c r="E335" s="16">
        <f t="shared" si="258"/>
        <v>16077598.859999999</v>
      </c>
      <c r="F335" s="16">
        <f t="shared" si="258"/>
        <v>11694502.57</v>
      </c>
      <c r="G335" s="16">
        <f t="shared" si="258"/>
        <v>17644190.180000003</v>
      </c>
      <c r="H335" s="16">
        <f t="shared" si="258"/>
        <v>14442488.139999999</v>
      </c>
      <c r="I335" s="16">
        <f t="shared" si="258"/>
        <v>14605432.700000001</v>
      </c>
      <c r="J335" s="16">
        <f t="shared" si="258"/>
        <v>8342614.5099999998</v>
      </c>
      <c r="K335" s="16">
        <f t="shared" si="258"/>
        <v>11597882.199999999</v>
      </c>
      <c r="L335" s="16">
        <f t="shared" si="258"/>
        <v>19001053.48</v>
      </c>
      <c r="M335" s="16">
        <f>M341+M360</f>
        <v>38373614.280000001</v>
      </c>
      <c r="N335" s="16">
        <f>N341+N360</f>
        <v>0</v>
      </c>
      <c r="O335" s="16">
        <f t="shared" ref="O335:S335" si="259">O341+O360</f>
        <v>0</v>
      </c>
      <c r="P335" s="16">
        <f t="shared" si="259"/>
        <v>0</v>
      </c>
      <c r="Q335" s="16">
        <f t="shared" si="259"/>
        <v>0</v>
      </c>
      <c r="R335" s="16">
        <f t="shared" si="259"/>
        <v>0</v>
      </c>
      <c r="S335" s="16">
        <f t="shared" si="259"/>
        <v>0</v>
      </c>
      <c r="T335" s="12"/>
      <c r="U335" s="2"/>
    </row>
    <row r="336" spans="1:22" s="5" customFormat="1" ht="14.25" x14ac:dyDescent="0.2">
      <c r="A336" s="13">
        <v>323</v>
      </c>
      <c r="B336" s="14" t="s">
        <v>11</v>
      </c>
      <c r="C336" s="16">
        <f t="shared" si="255"/>
        <v>0</v>
      </c>
      <c r="D336" s="16">
        <f t="shared" ref="D336:L336" si="260">D342+D361</f>
        <v>0</v>
      </c>
      <c r="E336" s="16">
        <f t="shared" si="260"/>
        <v>0</v>
      </c>
      <c r="F336" s="16">
        <f t="shared" si="260"/>
        <v>0</v>
      </c>
      <c r="G336" s="16">
        <f t="shared" si="260"/>
        <v>0</v>
      </c>
      <c r="H336" s="16">
        <f t="shared" si="260"/>
        <v>0</v>
      </c>
      <c r="I336" s="16">
        <f t="shared" si="260"/>
        <v>0</v>
      </c>
      <c r="J336" s="16">
        <f t="shared" si="260"/>
        <v>0</v>
      </c>
      <c r="K336" s="16">
        <f t="shared" si="260"/>
        <v>0</v>
      </c>
      <c r="L336" s="16">
        <f t="shared" si="260"/>
        <v>0</v>
      </c>
      <c r="M336" s="16">
        <f>M413</f>
        <v>0</v>
      </c>
      <c r="N336" s="16">
        <f>N342+N361</f>
        <v>0</v>
      </c>
      <c r="O336" s="16">
        <f t="shared" ref="O336:S336" si="261">O342+O361</f>
        <v>0</v>
      </c>
      <c r="P336" s="16">
        <f t="shared" si="261"/>
        <v>0</v>
      </c>
      <c r="Q336" s="16">
        <f t="shared" si="261"/>
        <v>0</v>
      </c>
      <c r="R336" s="16">
        <f t="shared" si="261"/>
        <v>0</v>
      </c>
      <c r="S336" s="16">
        <f t="shared" si="261"/>
        <v>0</v>
      </c>
      <c r="T336" s="12"/>
      <c r="U336" s="2"/>
    </row>
    <row r="337" spans="1:21" s="5" customFormat="1" ht="15" x14ac:dyDescent="0.2">
      <c r="A337" s="13">
        <v>324</v>
      </c>
      <c r="B337" s="45" t="s">
        <v>24</v>
      </c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2"/>
    </row>
    <row r="338" spans="1:21" s="5" customFormat="1" ht="42.75" x14ac:dyDescent="0.2">
      <c r="A338" s="13">
        <v>325</v>
      </c>
      <c r="B338" s="9" t="s">
        <v>25</v>
      </c>
      <c r="C338" s="17">
        <f>SUM(D338:S338)</f>
        <v>0</v>
      </c>
      <c r="D338" s="16">
        <f t="shared" ref="D338:I338" si="262">SUM(D339:D342)</f>
        <v>0</v>
      </c>
      <c r="E338" s="16">
        <f t="shared" si="262"/>
        <v>0</v>
      </c>
      <c r="F338" s="16">
        <f t="shared" si="262"/>
        <v>0</v>
      </c>
      <c r="G338" s="16">
        <f t="shared" si="262"/>
        <v>0</v>
      </c>
      <c r="H338" s="16">
        <f t="shared" si="262"/>
        <v>0</v>
      </c>
      <c r="I338" s="16">
        <f t="shared" si="262"/>
        <v>0</v>
      </c>
      <c r="J338" s="16">
        <f t="shared" ref="J338:O338" si="263">SUM(J339:J342)</f>
        <v>0</v>
      </c>
      <c r="K338" s="16">
        <f t="shared" si="263"/>
        <v>0</v>
      </c>
      <c r="L338" s="16">
        <f t="shared" si="263"/>
        <v>0</v>
      </c>
      <c r="M338" s="16">
        <f t="shared" si="263"/>
        <v>0</v>
      </c>
      <c r="N338" s="16">
        <f t="shared" si="263"/>
        <v>0</v>
      </c>
      <c r="O338" s="16">
        <f t="shared" si="263"/>
        <v>0</v>
      </c>
      <c r="P338" s="16">
        <f t="shared" ref="P338:S338" si="264">SUM(P339:P342)</f>
        <v>0</v>
      </c>
      <c r="Q338" s="16">
        <f t="shared" si="264"/>
        <v>0</v>
      </c>
      <c r="R338" s="16">
        <f t="shared" si="264"/>
        <v>0</v>
      </c>
      <c r="S338" s="16">
        <f t="shared" si="264"/>
        <v>0</v>
      </c>
      <c r="T338" s="8"/>
      <c r="U338" s="2"/>
    </row>
    <row r="339" spans="1:21" s="5" customFormat="1" ht="14.25" x14ac:dyDescent="0.2">
      <c r="A339" s="13">
        <v>326</v>
      </c>
      <c r="B339" s="14" t="s">
        <v>8</v>
      </c>
      <c r="C339" s="16">
        <f>SUM(D339:S339)</f>
        <v>0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8"/>
      <c r="U339" s="2"/>
    </row>
    <row r="340" spans="1:21" s="5" customFormat="1" ht="14.25" x14ac:dyDescent="0.2">
      <c r="A340" s="13">
        <v>327</v>
      </c>
      <c r="B340" s="14" t="s">
        <v>9</v>
      </c>
      <c r="C340" s="16">
        <f t="shared" ref="C340:C342" si="265">SUM(D340:S340)</f>
        <v>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8"/>
      <c r="U340" s="2"/>
    </row>
    <row r="341" spans="1:21" s="5" customFormat="1" ht="14.25" x14ac:dyDescent="0.2">
      <c r="A341" s="13">
        <v>328</v>
      </c>
      <c r="B341" s="14" t="s">
        <v>10</v>
      </c>
      <c r="C341" s="16">
        <f t="shared" si="265"/>
        <v>0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8"/>
      <c r="U341" s="2"/>
    </row>
    <row r="342" spans="1:21" s="5" customFormat="1" ht="14.25" x14ac:dyDescent="0.2">
      <c r="A342" s="13">
        <v>329</v>
      </c>
      <c r="B342" s="14" t="s">
        <v>11</v>
      </c>
      <c r="C342" s="16">
        <f t="shared" si="265"/>
        <v>0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8"/>
      <c r="U342" s="2"/>
    </row>
    <row r="343" spans="1:21" s="42" customFormat="1" x14ac:dyDescent="0.2">
      <c r="A343" s="43">
        <v>1</v>
      </c>
      <c r="B343" s="43">
        <v>2</v>
      </c>
      <c r="C343" s="43">
        <v>3</v>
      </c>
      <c r="D343" s="43">
        <v>4</v>
      </c>
      <c r="E343" s="43">
        <v>5</v>
      </c>
      <c r="F343" s="43">
        <v>6</v>
      </c>
      <c r="G343" s="43">
        <v>7</v>
      </c>
      <c r="H343" s="43">
        <v>8</v>
      </c>
      <c r="I343" s="43">
        <v>9</v>
      </c>
      <c r="J343" s="43">
        <v>10</v>
      </c>
      <c r="K343" s="43">
        <v>11</v>
      </c>
      <c r="L343" s="43">
        <v>12</v>
      </c>
      <c r="M343" s="43">
        <v>13</v>
      </c>
      <c r="N343" s="43">
        <v>14</v>
      </c>
      <c r="O343" s="43">
        <v>15</v>
      </c>
      <c r="P343" s="43">
        <v>16</v>
      </c>
      <c r="Q343" s="43">
        <v>17</v>
      </c>
      <c r="R343" s="43">
        <v>18</v>
      </c>
      <c r="S343" s="43">
        <v>19</v>
      </c>
      <c r="T343" s="43">
        <v>20</v>
      </c>
      <c r="U343" s="2"/>
    </row>
    <row r="344" spans="1:21" s="5" customFormat="1" ht="21.75" customHeight="1" x14ac:dyDescent="0.2">
      <c r="A344" s="13">
        <v>330</v>
      </c>
      <c r="B344" s="48" t="s">
        <v>26</v>
      </c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2"/>
    </row>
    <row r="345" spans="1:21" s="5" customFormat="1" ht="55.5" customHeight="1" x14ac:dyDescent="0.2">
      <c r="A345" s="13">
        <v>331</v>
      </c>
      <c r="B345" s="9" t="s">
        <v>27</v>
      </c>
      <c r="C345" s="17">
        <f>SUM(D345:S345)</f>
        <v>0</v>
      </c>
      <c r="D345" s="16">
        <f t="shared" ref="D345:I345" si="266">SUM(D346:D349)</f>
        <v>0</v>
      </c>
      <c r="E345" s="16">
        <f t="shared" si="266"/>
        <v>0</v>
      </c>
      <c r="F345" s="16">
        <f t="shared" si="266"/>
        <v>0</v>
      </c>
      <c r="G345" s="16">
        <f t="shared" si="266"/>
        <v>0</v>
      </c>
      <c r="H345" s="16">
        <f t="shared" si="266"/>
        <v>0</v>
      </c>
      <c r="I345" s="16">
        <f t="shared" si="266"/>
        <v>0</v>
      </c>
      <c r="J345" s="16">
        <f>SUM(J346:J349)</f>
        <v>0</v>
      </c>
      <c r="K345" s="16">
        <f>SUM(K346:K349)</f>
        <v>0</v>
      </c>
      <c r="L345" s="16">
        <f>SUM(L346:L349)</f>
        <v>0</v>
      </c>
      <c r="M345" s="16">
        <f>SUM(M346:M349)</f>
        <v>0</v>
      </c>
      <c r="N345" s="16">
        <f>SUM(N346:N349)</f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2"/>
      <c r="U345" s="2"/>
    </row>
    <row r="346" spans="1:21" s="5" customFormat="1" ht="14.25" x14ac:dyDescent="0.2">
      <c r="A346" s="13">
        <v>332</v>
      </c>
      <c r="B346" s="14" t="s">
        <v>8</v>
      </c>
      <c r="C346" s="16">
        <f>SUM(D346:S346)</f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2"/>
      <c r="U346" s="2"/>
    </row>
    <row r="347" spans="1:21" s="5" customFormat="1" ht="14.25" x14ac:dyDescent="0.2">
      <c r="A347" s="13">
        <v>333</v>
      </c>
      <c r="B347" s="14" t="s">
        <v>9</v>
      </c>
      <c r="C347" s="16">
        <f t="shared" ref="C347:C349" si="267">SUM(D347:S347)</f>
        <v>0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2"/>
      <c r="U347" s="2"/>
    </row>
    <row r="348" spans="1:21" s="5" customFormat="1" ht="14.25" x14ac:dyDescent="0.2">
      <c r="A348" s="13">
        <v>334</v>
      </c>
      <c r="B348" s="14" t="s">
        <v>10</v>
      </c>
      <c r="C348" s="16">
        <f t="shared" si="267"/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2"/>
      <c r="U348" s="2"/>
    </row>
    <row r="349" spans="1:21" s="5" customFormat="1" ht="14.25" x14ac:dyDescent="0.2">
      <c r="A349" s="13">
        <v>335</v>
      </c>
      <c r="B349" s="14" t="s">
        <v>11</v>
      </c>
      <c r="C349" s="16">
        <f t="shared" si="267"/>
        <v>0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2"/>
      <c r="U349" s="2"/>
    </row>
    <row r="350" spans="1:21" s="5" customFormat="1" ht="15" x14ac:dyDescent="0.2">
      <c r="A350" s="13">
        <v>336</v>
      </c>
      <c r="B350" s="45" t="s">
        <v>28</v>
      </c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2"/>
    </row>
    <row r="351" spans="1:21" s="5" customFormat="1" ht="33.75" customHeight="1" x14ac:dyDescent="0.2">
      <c r="A351" s="13">
        <v>337</v>
      </c>
      <c r="B351" s="9" t="s">
        <v>29</v>
      </c>
      <c r="C351" s="17">
        <f>SUM(D351:S351)</f>
        <v>0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8"/>
      <c r="U351" s="2"/>
    </row>
    <row r="352" spans="1:21" s="5" customFormat="1" ht="14.25" x14ac:dyDescent="0.2">
      <c r="A352" s="13">
        <v>338</v>
      </c>
      <c r="B352" s="14" t="s">
        <v>8</v>
      </c>
      <c r="C352" s="16">
        <f>SUM(D352:S352)</f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8"/>
      <c r="U352" s="2"/>
    </row>
    <row r="353" spans="1:22" s="5" customFormat="1" ht="14.25" x14ac:dyDescent="0.2">
      <c r="A353" s="13">
        <v>339</v>
      </c>
      <c r="B353" s="14" t="s">
        <v>9</v>
      </c>
      <c r="C353" s="16">
        <f t="shared" ref="C353:C355" si="268">SUM(D353:S353)</f>
        <v>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8"/>
      <c r="U353" s="2"/>
    </row>
    <row r="354" spans="1:22" s="5" customFormat="1" ht="14.25" x14ac:dyDescent="0.2">
      <c r="A354" s="13">
        <v>340</v>
      </c>
      <c r="B354" s="14" t="s">
        <v>10</v>
      </c>
      <c r="C354" s="16">
        <f t="shared" si="268"/>
        <v>0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8"/>
      <c r="U354" s="2"/>
    </row>
    <row r="355" spans="1:22" s="5" customFormat="1" ht="14.25" x14ac:dyDescent="0.2">
      <c r="A355" s="13">
        <v>341</v>
      </c>
      <c r="B355" s="14" t="s">
        <v>11</v>
      </c>
      <c r="C355" s="16">
        <f t="shared" si="268"/>
        <v>0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8"/>
      <c r="U355" s="2"/>
    </row>
    <row r="356" spans="1:22" s="5" customFormat="1" ht="15" x14ac:dyDescent="0.2">
      <c r="A356" s="13">
        <v>342</v>
      </c>
      <c r="B356" s="45" t="s">
        <v>14</v>
      </c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2"/>
    </row>
    <row r="357" spans="1:22" s="5" customFormat="1" ht="27" customHeight="1" x14ac:dyDescent="0.2">
      <c r="A357" s="13">
        <v>343</v>
      </c>
      <c r="B357" s="9" t="s">
        <v>15</v>
      </c>
      <c r="C357" s="17">
        <f>SUM(D357:S357)</f>
        <v>178240522.51000002</v>
      </c>
      <c r="D357" s="16">
        <f t="shared" ref="D357:I357" si="269">SUM(D358:D361)</f>
        <v>4764718.9399999995</v>
      </c>
      <c r="E357" s="16">
        <f t="shared" si="269"/>
        <v>16077598.859999999</v>
      </c>
      <c r="F357" s="16">
        <f t="shared" si="269"/>
        <v>13870390.789999999</v>
      </c>
      <c r="G357" s="16">
        <f t="shared" si="269"/>
        <v>18196022.550000004</v>
      </c>
      <c r="H357" s="16">
        <f t="shared" si="269"/>
        <v>14442488.139999999</v>
      </c>
      <c r="I357" s="16">
        <f t="shared" si="269"/>
        <v>14605432.700000001</v>
      </c>
      <c r="J357" s="16">
        <f t="shared" ref="J357:O357" si="270">SUM(J358:J361)</f>
        <v>8342614.5099999998</v>
      </c>
      <c r="K357" s="16">
        <f t="shared" si="270"/>
        <v>11597882.199999999</v>
      </c>
      <c r="L357" s="16">
        <f t="shared" si="270"/>
        <v>28374061.380000003</v>
      </c>
      <c r="M357" s="16">
        <f t="shared" si="270"/>
        <v>47969312.439999998</v>
      </c>
      <c r="N357" s="16">
        <f t="shared" si="270"/>
        <v>0</v>
      </c>
      <c r="O357" s="16">
        <f t="shared" si="270"/>
        <v>0</v>
      </c>
      <c r="P357" s="16">
        <f t="shared" ref="P357:S357" si="271">SUM(P358:P361)</f>
        <v>0</v>
      </c>
      <c r="Q357" s="16">
        <f t="shared" si="271"/>
        <v>0</v>
      </c>
      <c r="R357" s="16">
        <f t="shared" si="271"/>
        <v>0</v>
      </c>
      <c r="S357" s="16">
        <f t="shared" si="271"/>
        <v>0</v>
      </c>
      <c r="T357" s="12"/>
      <c r="U357" s="2"/>
    </row>
    <row r="358" spans="1:22" s="5" customFormat="1" ht="14.25" x14ac:dyDescent="0.2">
      <c r="A358" s="13">
        <v>344</v>
      </c>
      <c r="B358" s="14" t="s">
        <v>8</v>
      </c>
      <c r="C358" s="16">
        <f>SUM(D358:S358)</f>
        <v>545431</v>
      </c>
      <c r="D358" s="16">
        <f t="shared" ref="D358:F361" si="272">D363+D368+D383+D394</f>
        <v>545431</v>
      </c>
      <c r="E358" s="16">
        <f t="shared" si="272"/>
        <v>0</v>
      </c>
      <c r="F358" s="16">
        <f t="shared" si="272"/>
        <v>0</v>
      </c>
      <c r="G358" s="16">
        <f>G363+G368+G383+G394+G399</f>
        <v>0</v>
      </c>
      <c r="H358" s="16">
        <f t="shared" ref="H358:N358" si="273">H363+H368+H383+H394</f>
        <v>0</v>
      </c>
      <c r="I358" s="16">
        <f t="shared" si="273"/>
        <v>0</v>
      </c>
      <c r="J358" s="16">
        <f t="shared" si="273"/>
        <v>0</v>
      </c>
      <c r="K358" s="16">
        <f t="shared" si="273"/>
        <v>0</v>
      </c>
      <c r="L358" s="16">
        <f t="shared" si="273"/>
        <v>0</v>
      </c>
      <c r="M358" s="16">
        <f t="shared" si="273"/>
        <v>0</v>
      </c>
      <c r="N358" s="16">
        <f t="shared" si="273"/>
        <v>0</v>
      </c>
      <c r="O358" s="16">
        <f t="shared" ref="O358:S358" si="274">O363+O368+O383+O394</f>
        <v>0</v>
      </c>
      <c r="P358" s="16">
        <f t="shared" si="274"/>
        <v>0</v>
      </c>
      <c r="Q358" s="16">
        <f t="shared" si="274"/>
        <v>0</v>
      </c>
      <c r="R358" s="16">
        <f t="shared" si="274"/>
        <v>0</v>
      </c>
      <c r="S358" s="16">
        <f t="shared" si="274"/>
        <v>0</v>
      </c>
      <c r="T358" s="12"/>
      <c r="U358" s="2"/>
    </row>
    <row r="359" spans="1:22" s="5" customFormat="1" ht="14.25" x14ac:dyDescent="0.2">
      <c r="A359" s="13">
        <v>345</v>
      </c>
      <c r="B359" s="14" t="s">
        <v>9</v>
      </c>
      <c r="C359" s="16">
        <f t="shared" ref="C359:C361" si="275">SUM(D359:S359)</f>
        <v>22978447.649999999</v>
      </c>
      <c r="D359" s="16">
        <f t="shared" si="272"/>
        <v>1282021</v>
      </c>
      <c r="E359" s="16">
        <f t="shared" si="272"/>
        <v>0</v>
      </c>
      <c r="F359" s="16">
        <f t="shared" si="272"/>
        <v>2175888.2199999997</v>
      </c>
      <c r="G359" s="16">
        <f>G364+G369+G384+G395+G400</f>
        <v>551832.37</v>
      </c>
      <c r="H359" s="16">
        <f>H364+H369+H384+H395</f>
        <v>0</v>
      </c>
      <c r="I359" s="16">
        <f>I364+I369+I384+I395</f>
        <v>0</v>
      </c>
      <c r="J359" s="16">
        <f>J364+J369+J384+J395+J400+J405</f>
        <v>0</v>
      </c>
      <c r="K359" s="16">
        <f>K364+K369+K384+K395</f>
        <v>0</v>
      </c>
      <c r="L359" s="16">
        <f>L364+L369+L384+L395</f>
        <v>9373007.9000000004</v>
      </c>
      <c r="M359" s="16">
        <f>M364+M369+M384+M395+M411+M400</f>
        <v>9595698.1600000001</v>
      </c>
      <c r="N359" s="16">
        <f>N364+N369+N384+N395</f>
        <v>0</v>
      </c>
      <c r="O359" s="16">
        <f>O364+O369+O384+O395</f>
        <v>0</v>
      </c>
      <c r="P359" s="16">
        <f t="shared" ref="P359:S359" si="276">P364+P369+P384+P395</f>
        <v>0</v>
      </c>
      <c r="Q359" s="16">
        <f t="shared" si="276"/>
        <v>0</v>
      </c>
      <c r="R359" s="16">
        <f t="shared" si="276"/>
        <v>0</v>
      </c>
      <c r="S359" s="16">
        <f t="shared" si="276"/>
        <v>0</v>
      </c>
      <c r="T359" s="12"/>
      <c r="U359" s="2"/>
    </row>
    <row r="360" spans="1:22" s="5" customFormat="1" ht="14.25" x14ac:dyDescent="0.2">
      <c r="A360" s="13">
        <v>346</v>
      </c>
      <c r="B360" s="14" t="s">
        <v>10</v>
      </c>
      <c r="C360" s="16">
        <f t="shared" si="275"/>
        <v>154716643.86000001</v>
      </c>
      <c r="D360" s="16">
        <f t="shared" si="272"/>
        <v>2937266.94</v>
      </c>
      <c r="E360" s="16">
        <f t="shared" si="272"/>
        <v>16077598.859999999</v>
      </c>
      <c r="F360" s="16">
        <f t="shared" si="272"/>
        <v>11694502.57</v>
      </c>
      <c r="G360" s="16">
        <f>G365+G370+G385+G396+G401</f>
        <v>17644190.180000003</v>
      </c>
      <c r="H360" s="16">
        <f>H365+H370+H385+H396+H406+H401</f>
        <v>14442488.139999999</v>
      </c>
      <c r="I360" s="16">
        <f>I365+I370+I385+I396+I406+I401</f>
        <v>14605432.700000001</v>
      </c>
      <c r="J360" s="16">
        <f>J365+J370+J385+J396+J401+J406</f>
        <v>8342614.5099999998</v>
      </c>
      <c r="K360" s="16">
        <f>K365+K370+K385+K396+K401+K406</f>
        <v>11597882.199999999</v>
      </c>
      <c r="L360" s="16">
        <f>L365+L370+L385+L396+L406</f>
        <v>19001053.48</v>
      </c>
      <c r="M360" s="16">
        <f>M365+M370+M385+M396+M406+M401+M412+M417</f>
        <v>38373614.280000001</v>
      </c>
      <c r="N360" s="16">
        <f>N365+N370+N385+N396+N406</f>
        <v>0</v>
      </c>
      <c r="O360" s="16">
        <f>O365+O370+O385+O396+O406</f>
        <v>0</v>
      </c>
      <c r="P360" s="16">
        <f t="shared" ref="P360:S360" si="277">P365+P370+P385+P396+P406</f>
        <v>0</v>
      </c>
      <c r="Q360" s="16">
        <f t="shared" si="277"/>
        <v>0</v>
      </c>
      <c r="R360" s="16">
        <f t="shared" si="277"/>
        <v>0</v>
      </c>
      <c r="S360" s="16">
        <f t="shared" si="277"/>
        <v>0</v>
      </c>
      <c r="T360" s="12"/>
      <c r="U360" s="2"/>
    </row>
    <row r="361" spans="1:22" s="5" customFormat="1" ht="14.25" x14ac:dyDescent="0.2">
      <c r="A361" s="13">
        <v>347</v>
      </c>
      <c r="B361" s="14" t="s">
        <v>11</v>
      </c>
      <c r="C361" s="16">
        <f t="shared" si="275"/>
        <v>0</v>
      </c>
      <c r="D361" s="16">
        <f t="shared" si="272"/>
        <v>0</v>
      </c>
      <c r="E361" s="16">
        <f t="shared" si="272"/>
        <v>0</v>
      </c>
      <c r="F361" s="16">
        <f t="shared" si="272"/>
        <v>0</v>
      </c>
      <c r="G361" s="16">
        <f>G366+G371+G386+G397+G402</f>
        <v>0</v>
      </c>
      <c r="H361" s="16">
        <f t="shared" ref="H361:N361" si="278">H366+H371+H386+H397</f>
        <v>0</v>
      </c>
      <c r="I361" s="16">
        <f t="shared" si="278"/>
        <v>0</v>
      </c>
      <c r="J361" s="16">
        <f t="shared" si="278"/>
        <v>0</v>
      </c>
      <c r="K361" s="16">
        <f t="shared" si="278"/>
        <v>0</v>
      </c>
      <c r="L361" s="16">
        <f t="shared" si="278"/>
        <v>0</v>
      </c>
      <c r="M361" s="16">
        <f>M413</f>
        <v>0</v>
      </c>
      <c r="N361" s="16">
        <f t="shared" si="278"/>
        <v>0</v>
      </c>
      <c r="O361" s="16">
        <f t="shared" ref="O361:S361" si="279">O366+O371+O386+O397</f>
        <v>0</v>
      </c>
      <c r="P361" s="16">
        <f t="shared" si="279"/>
        <v>0</v>
      </c>
      <c r="Q361" s="16">
        <f t="shared" si="279"/>
        <v>0</v>
      </c>
      <c r="R361" s="16">
        <f t="shared" si="279"/>
        <v>0</v>
      </c>
      <c r="S361" s="16">
        <f t="shared" si="279"/>
        <v>0</v>
      </c>
      <c r="T361" s="12"/>
      <c r="U361" s="2"/>
    </row>
    <row r="362" spans="1:22" s="5" customFormat="1" ht="197.25" customHeight="1" x14ac:dyDescent="0.2">
      <c r="A362" s="13">
        <v>348</v>
      </c>
      <c r="B362" s="18" t="s">
        <v>149</v>
      </c>
      <c r="C362" s="17">
        <f>SUM(D362:S362)</f>
        <v>22264286.77</v>
      </c>
      <c r="D362" s="17">
        <f t="shared" ref="D362:I362" si="280">SUM(D363:D366)</f>
        <v>176735</v>
      </c>
      <c r="E362" s="17">
        <f t="shared" si="280"/>
        <v>859226.79</v>
      </c>
      <c r="F362" s="17">
        <f t="shared" si="280"/>
        <v>710831.93</v>
      </c>
      <c r="G362" s="17">
        <f t="shared" si="280"/>
        <v>2118577.66</v>
      </c>
      <c r="H362" s="17">
        <f t="shared" si="280"/>
        <v>105000</v>
      </c>
      <c r="I362" s="17">
        <f t="shared" si="280"/>
        <v>2764070.88</v>
      </c>
      <c r="J362" s="17">
        <f t="shared" ref="J362:O362" si="281">SUM(J363:J366)</f>
        <v>7295883.5099999998</v>
      </c>
      <c r="K362" s="17">
        <f t="shared" si="281"/>
        <v>8033961</v>
      </c>
      <c r="L362" s="17">
        <f t="shared" si="281"/>
        <v>200000</v>
      </c>
      <c r="M362" s="17">
        <f t="shared" si="281"/>
        <v>0</v>
      </c>
      <c r="N362" s="17">
        <f t="shared" si="281"/>
        <v>0</v>
      </c>
      <c r="O362" s="17">
        <f t="shared" si="281"/>
        <v>0</v>
      </c>
      <c r="P362" s="17">
        <f t="shared" ref="P362:S362" si="282">SUM(P363:P366)</f>
        <v>0</v>
      </c>
      <c r="Q362" s="17">
        <f t="shared" si="282"/>
        <v>0</v>
      </c>
      <c r="R362" s="17">
        <f t="shared" si="282"/>
        <v>0</v>
      </c>
      <c r="S362" s="17">
        <f t="shared" si="282"/>
        <v>0</v>
      </c>
      <c r="T362" s="8" t="s">
        <v>56</v>
      </c>
      <c r="U362" s="2"/>
    </row>
    <row r="363" spans="1:22" s="5" customFormat="1" ht="14.25" x14ac:dyDescent="0.2">
      <c r="A363" s="13">
        <v>349</v>
      </c>
      <c r="B363" s="14" t="s">
        <v>8</v>
      </c>
      <c r="C363" s="16">
        <f>SUM(D363:S363)</f>
        <v>0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8"/>
      <c r="U363" s="2"/>
    </row>
    <row r="364" spans="1:22" s="5" customFormat="1" ht="14.25" x14ac:dyDescent="0.2">
      <c r="A364" s="13">
        <v>350</v>
      </c>
      <c r="B364" s="14" t="s">
        <v>9</v>
      </c>
      <c r="C364" s="16">
        <f t="shared" ref="C364:C366" si="283">SUM(D364:S364)</f>
        <v>0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8"/>
      <c r="U364" s="2"/>
    </row>
    <row r="365" spans="1:22" s="5" customFormat="1" ht="14.25" x14ac:dyDescent="0.2">
      <c r="A365" s="13">
        <v>351</v>
      </c>
      <c r="B365" s="14" t="s">
        <v>10</v>
      </c>
      <c r="C365" s="16">
        <f t="shared" si="283"/>
        <v>22264286.77</v>
      </c>
      <c r="D365" s="16">
        <v>176735</v>
      </c>
      <c r="E365" s="16">
        <v>859226.79</v>
      </c>
      <c r="F365" s="16">
        <v>710831.93</v>
      </c>
      <c r="G365" s="16">
        <v>2118577.66</v>
      </c>
      <c r="H365" s="16">
        <f>1988645.47+105000-1988645.47</f>
        <v>105000</v>
      </c>
      <c r="I365" s="16">
        <v>2764070.88</v>
      </c>
      <c r="J365" s="16">
        <f>7811184.91-498013.48-17287.92</f>
        <v>7295883.5099999998</v>
      </c>
      <c r="K365" s="16">
        <v>8033961</v>
      </c>
      <c r="L365" s="16">
        <v>200000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8"/>
      <c r="U365" s="2"/>
      <c r="V365" s="2"/>
    </row>
    <row r="366" spans="1:22" s="5" customFormat="1" ht="14.25" x14ac:dyDescent="0.2">
      <c r="A366" s="13">
        <v>352</v>
      </c>
      <c r="B366" s="14" t="s">
        <v>11</v>
      </c>
      <c r="C366" s="16">
        <f t="shared" si="283"/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8"/>
      <c r="U366" s="2"/>
    </row>
    <row r="367" spans="1:22" s="5" customFormat="1" ht="93" customHeight="1" x14ac:dyDescent="0.2">
      <c r="A367" s="13">
        <v>353</v>
      </c>
      <c r="B367" s="18" t="s">
        <v>150</v>
      </c>
      <c r="C367" s="17">
        <f>SUM(D367:S367)</f>
        <v>81364814.450000018</v>
      </c>
      <c r="D367" s="17">
        <f t="shared" ref="D367:I367" si="284">SUM(D368:D371)</f>
        <v>3379731.94</v>
      </c>
      <c r="E367" s="17">
        <f>SUM(E368:E371)</f>
        <v>15218372.07</v>
      </c>
      <c r="F367" s="17">
        <f t="shared" si="284"/>
        <v>11560388.860000001</v>
      </c>
      <c r="G367" s="17">
        <f t="shared" si="284"/>
        <v>15880015.199999999</v>
      </c>
      <c r="H367" s="17">
        <f t="shared" si="284"/>
        <v>3620111.4499999993</v>
      </c>
      <c r="I367" s="17">
        <f t="shared" si="284"/>
        <v>276619.2</v>
      </c>
      <c r="J367" s="17">
        <f t="shared" ref="J367:O367" si="285">SUM(J368:J371)</f>
        <v>1018231</v>
      </c>
      <c r="K367" s="17">
        <f t="shared" si="285"/>
        <v>2704040.2</v>
      </c>
      <c r="L367" s="17">
        <f t="shared" si="285"/>
        <v>10369363.58</v>
      </c>
      <c r="M367" s="17">
        <f>M377+M369</f>
        <v>17337940.949999999</v>
      </c>
      <c r="N367" s="17">
        <f t="shared" si="285"/>
        <v>0</v>
      </c>
      <c r="O367" s="17">
        <f t="shared" si="285"/>
        <v>0</v>
      </c>
      <c r="P367" s="17">
        <f t="shared" ref="P367:S367" si="286">SUM(P368:P371)</f>
        <v>0</v>
      </c>
      <c r="Q367" s="17">
        <f t="shared" si="286"/>
        <v>0</v>
      </c>
      <c r="R367" s="17">
        <f t="shared" si="286"/>
        <v>0</v>
      </c>
      <c r="S367" s="17">
        <f t="shared" si="286"/>
        <v>0</v>
      </c>
      <c r="T367" s="8" t="s">
        <v>56</v>
      </c>
      <c r="U367" s="2"/>
    </row>
    <row r="368" spans="1:22" s="5" customFormat="1" ht="14.25" x14ac:dyDescent="0.2">
      <c r="A368" s="13">
        <v>354</v>
      </c>
      <c r="B368" s="14" t="s">
        <v>8</v>
      </c>
      <c r="C368" s="16">
        <f>SUM(D368:S368)</f>
        <v>0</v>
      </c>
      <c r="D368" s="16">
        <v>0</v>
      </c>
      <c r="E368" s="16">
        <v>0</v>
      </c>
      <c r="F368" s="16">
        <v>0</v>
      </c>
      <c r="G368" s="16">
        <v>0</v>
      </c>
      <c r="H368" s="16">
        <v>0</v>
      </c>
      <c r="I368" s="16">
        <v>0</v>
      </c>
      <c r="J368" s="16">
        <v>0</v>
      </c>
      <c r="K368" s="16">
        <v>0</v>
      </c>
      <c r="L368" s="16"/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8"/>
      <c r="U368" s="2"/>
    </row>
    <row r="369" spans="1:22" s="5" customFormat="1" ht="14.25" x14ac:dyDescent="0.2">
      <c r="A369" s="13">
        <v>355</v>
      </c>
      <c r="B369" s="14" t="s">
        <v>9</v>
      </c>
      <c r="C369" s="16">
        <f t="shared" ref="C369:C371" si="287">SUM(D369:S369)</f>
        <v>20995656.649999999</v>
      </c>
      <c r="D369" s="16">
        <v>769200</v>
      </c>
      <c r="E369" s="16">
        <v>0</v>
      </c>
      <c r="F369" s="16">
        <v>876718.22</v>
      </c>
      <c r="G369" s="16">
        <v>476832.37</v>
      </c>
      <c r="H369" s="16">
        <v>0</v>
      </c>
      <c r="I369" s="16">
        <v>0</v>
      </c>
      <c r="J369" s="16">
        <v>0</v>
      </c>
      <c r="K369" s="16">
        <v>0</v>
      </c>
      <c r="L369" s="16">
        <v>9373007.9000000004</v>
      </c>
      <c r="M369" s="16">
        <v>9499898.1600000001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8"/>
      <c r="U369" s="2"/>
    </row>
    <row r="370" spans="1:22" s="5" customFormat="1" ht="16.5" customHeight="1" x14ac:dyDescent="0.2">
      <c r="A370" s="13">
        <v>356</v>
      </c>
      <c r="B370" s="14" t="s">
        <v>10</v>
      </c>
      <c r="C370" s="16">
        <f t="shared" si="287"/>
        <v>60369157.800000012</v>
      </c>
      <c r="D370" s="16">
        <v>2610531.94</v>
      </c>
      <c r="E370" s="16">
        <v>15218372.07</v>
      </c>
      <c r="F370" s="16">
        <v>10683670.640000001</v>
      </c>
      <c r="G370" s="16">
        <v>15403182.83</v>
      </c>
      <c r="H370" s="16">
        <f>12925072.03-8873501.84-563510.2+132051.46</f>
        <v>3620111.4499999993</v>
      </c>
      <c r="I370" s="16">
        <v>276619.2</v>
      </c>
      <c r="J370" s="16">
        <v>1018231</v>
      </c>
      <c r="K370" s="16">
        <v>2704040.2</v>
      </c>
      <c r="L370" s="16">
        <v>996355.68</v>
      </c>
      <c r="M370" s="16">
        <f>M377</f>
        <v>7838042.79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8"/>
      <c r="U370" s="2"/>
      <c r="V370" s="2"/>
    </row>
    <row r="371" spans="1:22" s="5" customFormat="1" ht="14.25" x14ac:dyDescent="0.2">
      <c r="A371" s="13">
        <v>357</v>
      </c>
      <c r="B371" s="14" t="s">
        <v>11</v>
      </c>
      <c r="C371" s="16">
        <f t="shared" si="287"/>
        <v>0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8"/>
      <c r="U371" s="2"/>
    </row>
    <row r="372" spans="1:22" s="5" customFormat="1" ht="154.5" customHeight="1" x14ac:dyDescent="0.2">
      <c r="A372" s="13">
        <v>358</v>
      </c>
      <c r="B372" s="18" t="s">
        <v>144</v>
      </c>
      <c r="C372" s="17">
        <f>SUM(D372:S372)</f>
        <v>649270.15</v>
      </c>
      <c r="D372" s="16">
        <v>0</v>
      </c>
      <c r="E372" s="16">
        <v>0</v>
      </c>
      <c r="F372" s="16">
        <f>F373+F374+F375+F376</f>
        <v>649270.15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8" t="s">
        <v>57</v>
      </c>
      <c r="U372" s="2"/>
    </row>
    <row r="373" spans="1:22" s="5" customFormat="1" ht="14.25" x14ac:dyDescent="0.2">
      <c r="A373" s="13">
        <v>359</v>
      </c>
      <c r="B373" s="14" t="s">
        <v>8</v>
      </c>
      <c r="C373" s="16">
        <f t="shared" ref="C373" si="288">SUM(D373:O373)</f>
        <v>0</v>
      </c>
      <c r="D373" s="16">
        <v>0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8"/>
      <c r="U373" s="2"/>
    </row>
    <row r="374" spans="1:22" s="5" customFormat="1" ht="14.25" x14ac:dyDescent="0.2">
      <c r="A374" s="13">
        <v>360</v>
      </c>
      <c r="B374" s="14" t="s">
        <v>9</v>
      </c>
      <c r="C374" s="16">
        <f>SUM(D374:S374)</f>
        <v>616806.64</v>
      </c>
      <c r="D374" s="16">
        <v>0</v>
      </c>
      <c r="E374" s="16">
        <v>0</v>
      </c>
      <c r="F374" s="16">
        <v>616806.64</v>
      </c>
      <c r="G374" s="16">
        <v>0</v>
      </c>
      <c r="H374" s="16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8"/>
      <c r="U374" s="2"/>
    </row>
    <row r="375" spans="1:22" s="5" customFormat="1" ht="14.25" x14ac:dyDescent="0.2">
      <c r="A375" s="13">
        <v>361</v>
      </c>
      <c r="B375" s="14" t="s">
        <v>10</v>
      </c>
      <c r="C375" s="16">
        <f t="shared" ref="C375:C376" si="289">SUM(D375:S375)</f>
        <v>32463.51</v>
      </c>
      <c r="D375" s="16">
        <v>0</v>
      </c>
      <c r="E375" s="16">
        <v>0</v>
      </c>
      <c r="F375" s="16">
        <v>32463.51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8"/>
      <c r="U375" s="2"/>
    </row>
    <row r="376" spans="1:22" s="5" customFormat="1" ht="14.25" x14ac:dyDescent="0.2">
      <c r="A376" s="13">
        <v>362</v>
      </c>
      <c r="B376" s="14" t="s">
        <v>11</v>
      </c>
      <c r="C376" s="16">
        <f t="shared" si="289"/>
        <v>0</v>
      </c>
      <c r="D376" s="16">
        <v>0</v>
      </c>
      <c r="E376" s="16">
        <v>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8"/>
      <c r="U376" s="2"/>
    </row>
    <row r="377" spans="1:22" s="5" customFormat="1" ht="171" x14ac:dyDescent="0.2">
      <c r="A377" s="13">
        <v>363</v>
      </c>
      <c r="B377" s="18" t="s">
        <v>145</v>
      </c>
      <c r="C377" s="17">
        <f>SUM(D377:S377)</f>
        <v>18160541.329999998</v>
      </c>
      <c r="D377" s="16">
        <v>0</v>
      </c>
      <c r="E377" s="16">
        <v>0</v>
      </c>
      <c r="F377" s="16">
        <f>F378+F379+F380+F381</f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f>L379+L380</f>
        <v>10322498.539999999</v>
      </c>
      <c r="M377" s="17">
        <f>M380</f>
        <v>7838042.79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8" t="s">
        <v>57</v>
      </c>
      <c r="U377" s="2"/>
    </row>
    <row r="378" spans="1:22" s="5" customFormat="1" ht="14.25" x14ac:dyDescent="0.2">
      <c r="A378" s="13">
        <v>364</v>
      </c>
      <c r="B378" s="14" t="s">
        <v>8</v>
      </c>
      <c r="C378" s="16">
        <f>SUM(D378:S378)</f>
        <v>0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8"/>
      <c r="U378" s="2"/>
    </row>
    <row r="379" spans="1:22" s="5" customFormat="1" ht="14.25" x14ac:dyDescent="0.2">
      <c r="A379" s="13">
        <v>365</v>
      </c>
      <c r="B379" s="14" t="s">
        <v>9</v>
      </c>
      <c r="C379" s="16">
        <f>SUM(D379:S379)</f>
        <v>9326142.8599999994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9326142.8599999994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8"/>
      <c r="U379" s="2"/>
    </row>
    <row r="380" spans="1:22" s="5" customFormat="1" ht="14.25" x14ac:dyDescent="0.2">
      <c r="A380" s="13">
        <v>366</v>
      </c>
      <c r="B380" s="14" t="s">
        <v>10</v>
      </c>
      <c r="C380" s="16">
        <f t="shared" ref="C380:C381" si="290">SUM(D380:S380)</f>
        <v>8834398.4700000007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996355.68</v>
      </c>
      <c r="M380" s="16">
        <v>7838042.79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8"/>
      <c r="U380" s="2"/>
    </row>
    <row r="381" spans="1:22" s="5" customFormat="1" ht="14.25" x14ac:dyDescent="0.2">
      <c r="A381" s="13">
        <v>367</v>
      </c>
      <c r="B381" s="14" t="s">
        <v>11</v>
      </c>
      <c r="C381" s="16">
        <f t="shared" si="290"/>
        <v>0</v>
      </c>
      <c r="D381" s="16">
        <v>0</v>
      </c>
      <c r="E381" s="16">
        <v>0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8"/>
      <c r="U381" s="2"/>
    </row>
    <row r="382" spans="1:22" s="5" customFormat="1" ht="108.75" customHeight="1" x14ac:dyDescent="0.2">
      <c r="A382" s="13">
        <v>368</v>
      </c>
      <c r="B382" s="18" t="s">
        <v>134</v>
      </c>
      <c r="C382" s="17">
        <f>SUM(D382:S382)</f>
        <v>2807422</v>
      </c>
      <c r="D382" s="17">
        <f t="shared" ref="D382:I382" si="291">SUM(D383:D386)</f>
        <v>1208252</v>
      </c>
      <c r="E382" s="17">
        <f t="shared" si="291"/>
        <v>0</v>
      </c>
      <c r="F382" s="17">
        <f t="shared" si="291"/>
        <v>1599170</v>
      </c>
      <c r="G382" s="17">
        <f t="shared" si="291"/>
        <v>0</v>
      </c>
      <c r="H382" s="17">
        <f t="shared" si="291"/>
        <v>0</v>
      </c>
      <c r="I382" s="17">
        <f t="shared" si="291"/>
        <v>0</v>
      </c>
      <c r="J382" s="17">
        <f t="shared" ref="J382:O382" si="292">SUM(J383:J386)</f>
        <v>0</v>
      </c>
      <c r="K382" s="17">
        <f t="shared" si="292"/>
        <v>0</v>
      </c>
      <c r="L382" s="17">
        <f t="shared" si="292"/>
        <v>0</v>
      </c>
      <c r="M382" s="17">
        <f t="shared" si="292"/>
        <v>0</v>
      </c>
      <c r="N382" s="17">
        <f t="shared" si="292"/>
        <v>0</v>
      </c>
      <c r="O382" s="17">
        <f t="shared" si="292"/>
        <v>0</v>
      </c>
      <c r="P382" s="17">
        <f t="shared" ref="P382:S382" si="293">SUM(P383:P386)</f>
        <v>0</v>
      </c>
      <c r="Q382" s="17">
        <f t="shared" si="293"/>
        <v>0</v>
      </c>
      <c r="R382" s="17">
        <f t="shared" si="293"/>
        <v>0</v>
      </c>
      <c r="S382" s="17">
        <f t="shared" si="293"/>
        <v>0</v>
      </c>
      <c r="T382" s="8" t="s">
        <v>56</v>
      </c>
      <c r="U382" s="2"/>
    </row>
    <row r="383" spans="1:22" s="5" customFormat="1" ht="14.25" x14ac:dyDescent="0.2">
      <c r="A383" s="13">
        <v>369</v>
      </c>
      <c r="B383" s="14" t="s">
        <v>8</v>
      </c>
      <c r="C383" s="16">
        <f>SUM(D383:S383)</f>
        <v>545431</v>
      </c>
      <c r="D383" s="16">
        <v>545431</v>
      </c>
      <c r="E383" s="16">
        <v>0</v>
      </c>
      <c r="F383" s="16">
        <f>F389</f>
        <v>0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21"/>
      <c r="U383" s="2"/>
    </row>
    <row r="384" spans="1:22" s="5" customFormat="1" ht="14.25" x14ac:dyDescent="0.2">
      <c r="A384" s="13">
        <v>370</v>
      </c>
      <c r="B384" s="14" t="s">
        <v>9</v>
      </c>
      <c r="C384" s="16">
        <f t="shared" ref="C384:C386" si="294">SUM(D384:S384)</f>
        <v>1811991</v>
      </c>
      <c r="D384" s="16">
        <v>512821</v>
      </c>
      <c r="E384" s="16">
        <v>0</v>
      </c>
      <c r="F384" s="16">
        <f>F390</f>
        <v>1299170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21"/>
      <c r="U384" s="2"/>
    </row>
    <row r="385" spans="1:21" s="5" customFormat="1" ht="14.25" x14ac:dyDescent="0.2">
      <c r="A385" s="13">
        <v>371</v>
      </c>
      <c r="B385" s="14" t="s">
        <v>10</v>
      </c>
      <c r="C385" s="16">
        <f t="shared" si="294"/>
        <v>450000</v>
      </c>
      <c r="D385" s="16">
        <v>150000</v>
      </c>
      <c r="E385" s="16">
        <v>0</v>
      </c>
      <c r="F385" s="16">
        <f>F391</f>
        <v>300000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21"/>
      <c r="U385" s="2"/>
    </row>
    <row r="386" spans="1:21" s="5" customFormat="1" ht="14.25" x14ac:dyDescent="0.2">
      <c r="A386" s="13">
        <v>372</v>
      </c>
      <c r="B386" s="14" t="s">
        <v>11</v>
      </c>
      <c r="C386" s="16">
        <f t="shared" si="294"/>
        <v>0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21"/>
      <c r="U386" s="2"/>
    </row>
    <row r="387" spans="1:21" s="42" customFormat="1" x14ac:dyDescent="0.2">
      <c r="A387" s="43">
        <v>1</v>
      </c>
      <c r="B387" s="43">
        <v>2</v>
      </c>
      <c r="C387" s="43">
        <v>3</v>
      </c>
      <c r="D387" s="43">
        <v>4</v>
      </c>
      <c r="E387" s="43">
        <v>5</v>
      </c>
      <c r="F387" s="43">
        <v>6</v>
      </c>
      <c r="G387" s="43">
        <v>7</v>
      </c>
      <c r="H387" s="43">
        <v>8</v>
      </c>
      <c r="I387" s="43">
        <v>9</v>
      </c>
      <c r="J387" s="43">
        <v>10</v>
      </c>
      <c r="K387" s="43">
        <v>11</v>
      </c>
      <c r="L387" s="43">
        <v>12</v>
      </c>
      <c r="M387" s="43">
        <v>13</v>
      </c>
      <c r="N387" s="43">
        <v>14</v>
      </c>
      <c r="O387" s="43">
        <v>15</v>
      </c>
      <c r="P387" s="43">
        <v>16</v>
      </c>
      <c r="Q387" s="43">
        <v>17</v>
      </c>
      <c r="R387" s="43">
        <v>18</v>
      </c>
      <c r="S387" s="43">
        <v>19</v>
      </c>
      <c r="T387" s="43">
        <v>20</v>
      </c>
      <c r="U387" s="2"/>
    </row>
    <row r="388" spans="1:21" s="5" customFormat="1" ht="42.75" x14ac:dyDescent="0.2">
      <c r="A388" s="13">
        <v>373</v>
      </c>
      <c r="B388" s="14" t="s">
        <v>30</v>
      </c>
      <c r="C388" s="17">
        <f>SUM(D388:S388)</f>
        <v>2807422</v>
      </c>
      <c r="D388" s="16">
        <f t="shared" ref="D388:I388" si="295">SUM(D389:D392)</f>
        <v>1208252</v>
      </c>
      <c r="E388" s="16">
        <f t="shared" si="295"/>
        <v>0</v>
      </c>
      <c r="F388" s="16">
        <f t="shared" si="295"/>
        <v>1599170</v>
      </c>
      <c r="G388" s="16">
        <f t="shared" si="295"/>
        <v>0</v>
      </c>
      <c r="H388" s="16">
        <f t="shared" si="295"/>
        <v>0</v>
      </c>
      <c r="I388" s="16">
        <f t="shared" si="295"/>
        <v>0</v>
      </c>
      <c r="J388" s="16">
        <f t="shared" ref="J388:O388" si="296">SUM(J389:J392)</f>
        <v>0</v>
      </c>
      <c r="K388" s="16">
        <f t="shared" si="296"/>
        <v>0</v>
      </c>
      <c r="L388" s="16">
        <f t="shared" si="296"/>
        <v>0</v>
      </c>
      <c r="M388" s="16">
        <f t="shared" si="296"/>
        <v>0</v>
      </c>
      <c r="N388" s="16">
        <f t="shared" si="296"/>
        <v>0</v>
      </c>
      <c r="O388" s="16">
        <f t="shared" si="296"/>
        <v>0</v>
      </c>
      <c r="P388" s="16">
        <f t="shared" ref="P388:S388" si="297">SUM(P389:P392)</f>
        <v>0</v>
      </c>
      <c r="Q388" s="16">
        <f t="shared" si="297"/>
        <v>0</v>
      </c>
      <c r="R388" s="16">
        <f t="shared" si="297"/>
        <v>0</v>
      </c>
      <c r="S388" s="16">
        <f t="shared" si="297"/>
        <v>0</v>
      </c>
      <c r="T388" s="21"/>
      <c r="U388" s="2"/>
    </row>
    <row r="389" spans="1:21" s="5" customFormat="1" ht="14.25" x14ac:dyDescent="0.2">
      <c r="A389" s="13">
        <v>374</v>
      </c>
      <c r="B389" s="14" t="s">
        <v>8</v>
      </c>
      <c r="C389" s="16">
        <f>SUM(D389:S389)</f>
        <v>545431</v>
      </c>
      <c r="D389" s="16">
        <v>545431</v>
      </c>
      <c r="E389" s="16">
        <v>0</v>
      </c>
      <c r="F389" s="16"/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21"/>
      <c r="U389" s="2"/>
    </row>
    <row r="390" spans="1:21" s="5" customFormat="1" ht="14.25" x14ac:dyDescent="0.2">
      <c r="A390" s="13">
        <v>375</v>
      </c>
      <c r="B390" s="14" t="s">
        <v>9</v>
      </c>
      <c r="C390" s="16">
        <f t="shared" ref="C390:C392" si="298">SUM(D390:S390)</f>
        <v>1811991</v>
      </c>
      <c r="D390" s="16">
        <v>512821</v>
      </c>
      <c r="E390" s="16">
        <v>0</v>
      </c>
      <c r="F390" s="16">
        <v>1299170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21"/>
      <c r="U390" s="2"/>
    </row>
    <row r="391" spans="1:21" s="5" customFormat="1" ht="14.25" x14ac:dyDescent="0.2">
      <c r="A391" s="13">
        <v>376</v>
      </c>
      <c r="B391" s="14" t="s">
        <v>10</v>
      </c>
      <c r="C391" s="16">
        <f t="shared" si="298"/>
        <v>450000</v>
      </c>
      <c r="D391" s="16">
        <v>150000</v>
      </c>
      <c r="E391" s="16">
        <v>0</v>
      </c>
      <c r="F391" s="16">
        <v>300000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21"/>
      <c r="U391" s="2"/>
    </row>
    <row r="392" spans="1:21" s="5" customFormat="1" ht="14.25" x14ac:dyDescent="0.2">
      <c r="A392" s="13">
        <v>377</v>
      </c>
      <c r="B392" s="14" t="s">
        <v>11</v>
      </c>
      <c r="C392" s="16">
        <f t="shared" si="298"/>
        <v>0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21"/>
      <c r="U392" s="2"/>
    </row>
    <row r="393" spans="1:21" s="5" customFormat="1" ht="92.25" customHeight="1" x14ac:dyDescent="0.2">
      <c r="A393" s="13">
        <v>378</v>
      </c>
      <c r="B393" s="18" t="s">
        <v>135</v>
      </c>
      <c r="C393" s="17">
        <f>SUM(D393:S393)</f>
        <v>92629.689999999944</v>
      </c>
      <c r="D393" s="17">
        <f t="shared" ref="D393:I393" si="299">SUM(D394:D397)</f>
        <v>0</v>
      </c>
      <c r="E393" s="17">
        <f t="shared" si="299"/>
        <v>0</v>
      </c>
      <c r="F393" s="17">
        <f t="shared" si="299"/>
        <v>0</v>
      </c>
      <c r="G393" s="17">
        <f t="shared" si="299"/>
        <v>92629.689999999944</v>
      </c>
      <c r="H393" s="17">
        <f t="shared" si="299"/>
        <v>0</v>
      </c>
      <c r="I393" s="17">
        <f t="shared" si="299"/>
        <v>0</v>
      </c>
      <c r="J393" s="17">
        <f t="shared" ref="J393:O393" si="300">SUM(J394:J397)</f>
        <v>0</v>
      </c>
      <c r="K393" s="17">
        <f t="shared" si="300"/>
        <v>0</v>
      </c>
      <c r="L393" s="17">
        <f t="shared" si="300"/>
        <v>0</v>
      </c>
      <c r="M393" s="17">
        <f t="shared" si="300"/>
        <v>0</v>
      </c>
      <c r="N393" s="17">
        <f t="shared" si="300"/>
        <v>0</v>
      </c>
      <c r="O393" s="17">
        <f t="shared" si="300"/>
        <v>0</v>
      </c>
      <c r="P393" s="17">
        <f t="shared" ref="P393:S393" si="301">SUM(P394:P397)</f>
        <v>0</v>
      </c>
      <c r="Q393" s="17">
        <f t="shared" si="301"/>
        <v>0</v>
      </c>
      <c r="R393" s="17">
        <f t="shared" si="301"/>
        <v>0</v>
      </c>
      <c r="S393" s="17">
        <f t="shared" si="301"/>
        <v>0</v>
      </c>
      <c r="T393" s="8" t="s">
        <v>70</v>
      </c>
      <c r="U393" s="2"/>
    </row>
    <row r="394" spans="1:21" s="5" customFormat="1" ht="14.25" x14ac:dyDescent="0.2">
      <c r="A394" s="13">
        <v>379</v>
      </c>
      <c r="B394" s="14" t="s">
        <v>8</v>
      </c>
      <c r="C394" s="16">
        <f>SUM(D394:S394)</f>
        <v>0</v>
      </c>
      <c r="D394" s="16">
        <v>0</v>
      </c>
      <c r="E394" s="16">
        <v>0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21"/>
      <c r="U394" s="2"/>
    </row>
    <row r="395" spans="1:21" s="5" customFormat="1" ht="14.25" x14ac:dyDescent="0.2">
      <c r="A395" s="13">
        <v>380</v>
      </c>
      <c r="B395" s="14" t="s">
        <v>9</v>
      </c>
      <c r="C395" s="16">
        <f t="shared" ref="C395:C397" si="302">SUM(D395:S395)</f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21"/>
      <c r="U395" s="2"/>
    </row>
    <row r="396" spans="1:21" s="5" customFormat="1" ht="14.25" x14ac:dyDescent="0.2">
      <c r="A396" s="13">
        <v>381</v>
      </c>
      <c r="B396" s="14" t="s">
        <v>10</v>
      </c>
      <c r="C396" s="16">
        <f t="shared" si="302"/>
        <v>92629.689999999944</v>
      </c>
      <c r="D396" s="16">
        <v>0</v>
      </c>
      <c r="E396" s="16">
        <v>0</v>
      </c>
      <c r="F396" s="16">
        <f>1400000-300000-1100000</f>
        <v>0</v>
      </c>
      <c r="G396" s="16">
        <f>1400000-1200370.31-97000-10000</f>
        <v>92629.689999999944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21"/>
      <c r="U396" s="2"/>
    </row>
    <row r="397" spans="1:21" s="5" customFormat="1" ht="14.25" x14ac:dyDescent="0.2">
      <c r="A397" s="13">
        <v>382</v>
      </c>
      <c r="B397" s="14" t="s">
        <v>11</v>
      </c>
      <c r="C397" s="16">
        <f t="shared" si="302"/>
        <v>0</v>
      </c>
      <c r="D397" s="16">
        <v>0</v>
      </c>
      <c r="E397" s="16">
        <v>0</v>
      </c>
      <c r="F397" s="16">
        <v>0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21"/>
      <c r="U397" s="2"/>
    </row>
    <row r="398" spans="1:21" s="5" customFormat="1" ht="58.5" customHeight="1" x14ac:dyDescent="0.2">
      <c r="A398" s="13">
        <v>383</v>
      </c>
      <c r="B398" s="18" t="s">
        <v>136</v>
      </c>
      <c r="C398" s="17">
        <f>SUM(D398:S398)</f>
        <v>6541637.29</v>
      </c>
      <c r="D398" s="17">
        <v>0</v>
      </c>
      <c r="E398" s="17">
        <v>0</v>
      </c>
      <c r="F398" s="17">
        <v>0</v>
      </c>
      <c r="G398" s="17">
        <f t="shared" ref="G398:N398" si="303">G399+G400+G401+G402</f>
        <v>104800</v>
      </c>
      <c r="H398" s="17">
        <f t="shared" si="303"/>
        <v>1835640</v>
      </c>
      <c r="I398" s="17">
        <f t="shared" si="303"/>
        <v>505800</v>
      </c>
      <c r="J398" s="17">
        <f t="shared" si="303"/>
        <v>28500</v>
      </c>
      <c r="K398" s="17">
        <f t="shared" si="303"/>
        <v>159881</v>
      </c>
      <c r="L398" s="17">
        <f t="shared" si="303"/>
        <v>0</v>
      </c>
      <c r="M398" s="17">
        <f>M399+M400+M401+M402</f>
        <v>3907016.29</v>
      </c>
      <c r="N398" s="17">
        <f t="shared" si="303"/>
        <v>0</v>
      </c>
      <c r="O398" s="17">
        <f t="shared" ref="O398:S398" si="304">O399+O400+O401+O402</f>
        <v>0</v>
      </c>
      <c r="P398" s="17">
        <f t="shared" si="304"/>
        <v>0</v>
      </c>
      <c r="Q398" s="17">
        <f t="shared" si="304"/>
        <v>0</v>
      </c>
      <c r="R398" s="17">
        <f t="shared" si="304"/>
        <v>0</v>
      </c>
      <c r="S398" s="17">
        <f t="shared" si="304"/>
        <v>0</v>
      </c>
      <c r="T398" s="8" t="s">
        <v>71</v>
      </c>
      <c r="U398" s="2"/>
    </row>
    <row r="399" spans="1:21" s="5" customFormat="1" ht="14.25" x14ac:dyDescent="0.2">
      <c r="A399" s="13">
        <v>384</v>
      </c>
      <c r="B399" s="14" t="s">
        <v>8</v>
      </c>
      <c r="C399" s="16">
        <f>SUM(D399:S399)</f>
        <v>0</v>
      </c>
      <c r="D399" s="16">
        <v>0</v>
      </c>
      <c r="E399" s="16">
        <v>0</v>
      </c>
      <c r="F399" s="16">
        <v>0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21"/>
      <c r="U399" s="2"/>
    </row>
    <row r="400" spans="1:21" s="5" customFormat="1" ht="14.25" x14ac:dyDescent="0.2">
      <c r="A400" s="13">
        <v>385</v>
      </c>
      <c r="B400" s="14" t="s">
        <v>9</v>
      </c>
      <c r="C400" s="16">
        <f t="shared" ref="C400:C402" si="305">SUM(D400:S400)</f>
        <v>135000</v>
      </c>
      <c r="D400" s="16">
        <v>0</v>
      </c>
      <c r="E400" s="16">
        <v>0</v>
      </c>
      <c r="F400" s="16">
        <v>0</v>
      </c>
      <c r="G400" s="16">
        <v>75000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60000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21"/>
      <c r="U400" s="2"/>
    </row>
    <row r="401" spans="1:22" s="5" customFormat="1" ht="14.25" x14ac:dyDescent="0.2">
      <c r="A401" s="13">
        <v>386</v>
      </c>
      <c r="B401" s="14" t="s">
        <v>10</v>
      </c>
      <c r="C401" s="16">
        <f t="shared" si="305"/>
        <v>6406637.29</v>
      </c>
      <c r="D401" s="16">
        <v>0</v>
      </c>
      <c r="E401" s="16">
        <v>0</v>
      </c>
      <c r="F401" s="16">
        <v>0</v>
      </c>
      <c r="G401" s="16">
        <f>29800</f>
        <v>29800</v>
      </c>
      <c r="H401" s="16">
        <f>1315210+713900-184359.71-9110.29</f>
        <v>1835640</v>
      </c>
      <c r="I401" s="16">
        <f>507600-1800</f>
        <v>505800</v>
      </c>
      <c r="J401" s="16">
        <f>28500</f>
        <v>28500</v>
      </c>
      <c r="K401" s="16">
        <f>126740+33141</f>
        <v>159881</v>
      </c>
      <c r="L401" s="16">
        <v>0</v>
      </c>
      <c r="M401" s="16">
        <v>3847016.29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21"/>
      <c r="U401" s="2"/>
      <c r="V401" s="2"/>
    </row>
    <row r="402" spans="1:22" s="5" customFormat="1" ht="14.25" x14ac:dyDescent="0.2">
      <c r="A402" s="13">
        <v>387</v>
      </c>
      <c r="B402" s="14" t="s">
        <v>11</v>
      </c>
      <c r="C402" s="16">
        <f t="shared" si="305"/>
        <v>0</v>
      </c>
      <c r="D402" s="16">
        <v>0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21"/>
      <c r="U402" s="2"/>
    </row>
    <row r="403" spans="1:22" s="5" customFormat="1" ht="82.5" customHeight="1" x14ac:dyDescent="0.2">
      <c r="A403" s="13">
        <v>388</v>
      </c>
      <c r="B403" s="18" t="s">
        <v>137</v>
      </c>
      <c r="C403" s="17">
        <f>SUM(D403:S403)</f>
        <v>64480332.310000002</v>
      </c>
      <c r="D403" s="17">
        <v>0</v>
      </c>
      <c r="E403" s="17">
        <v>0</v>
      </c>
      <c r="F403" s="17">
        <v>0</v>
      </c>
      <c r="G403" s="17">
        <f t="shared" ref="G403:N403" si="306">G404+G405+G406+G408</f>
        <v>0</v>
      </c>
      <c r="H403" s="17">
        <f>H404+H405+H406+H408</f>
        <v>8881736.6899999995</v>
      </c>
      <c r="I403" s="17">
        <f t="shared" si="306"/>
        <v>11058942.620000001</v>
      </c>
      <c r="J403" s="17">
        <f t="shared" si="306"/>
        <v>0</v>
      </c>
      <c r="K403" s="17">
        <f t="shared" si="306"/>
        <v>700000</v>
      </c>
      <c r="L403" s="17">
        <f t="shared" si="306"/>
        <v>17804697.800000001</v>
      </c>
      <c r="M403" s="17">
        <f>M404+M405+M406+M408</f>
        <v>26034955.199999999</v>
      </c>
      <c r="N403" s="17">
        <f t="shared" si="306"/>
        <v>0</v>
      </c>
      <c r="O403" s="17">
        <f t="shared" ref="O403:S403" si="307">O404+O405+O406+O408</f>
        <v>0</v>
      </c>
      <c r="P403" s="17">
        <f t="shared" si="307"/>
        <v>0</v>
      </c>
      <c r="Q403" s="17">
        <f t="shared" si="307"/>
        <v>0</v>
      </c>
      <c r="R403" s="17">
        <f t="shared" si="307"/>
        <v>0</v>
      </c>
      <c r="S403" s="17">
        <f t="shared" si="307"/>
        <v>0</v>
      </c>
      <c r="T403" s="8" t="s">
        <v>56</v>
      </c>
      <c r="U403" s="2"/>
    </row>
    <row r="404" spans="1:22" s="5" customFormat="1" ht="14.25" x14ac:dyDescent="0.2">
      <c r="A404" s="13">
        <v>389</v>
      </c>
      <c r="B404" s="14" t="s">
        <v>8</v>
      </c>
      <c r="C404" s="16">
        <f>SUM(D404:S404)</f>
        <v>0</v>
      </c>
      <c r="D404" s="16">
        <v>0</v>
      </c>
      <c r="E404" s="16">
        <v>0</v>
      </c>
      <c r="F404" s="16">
        <v>0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21"/>
      <c r="U404" s="2"/>
    </row>
    <row r="405" spans="1:22" s="5" customFormat="1" ht="14.25" x14ac:dyDescent="0.2">
      <c r="A405" s="13">
        <v>390</v>
      </c>
      <c r="B405" s="14" t="s">
        <v>9</v>
      </c>
      <c r="C405" s="16">
        <f t="shared" ref="C405:C408" si="308">SUM(D405:S405)</f>
        <v>0</v>
      </c>
      <c r="D405" s="16">
        <v>0</v>
      </c>
      <c r="E405" s="16">
        <v>0</v>
      </c>
      <c r="F405" s="16">
        <v>0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21"/>
      <c r="U405" s="2"/>
    </row>
    <row r="406" spans="1:22" s="5" customFormat="1" ht="29.25" customHeight="1" x14ac:dyDescent="0.2">
      <c r="A406" s="13">
        <v>391</v>
      </c>
      <c r="B406" s="14" t="s">
        <v>59</v>
      </c>
      <c r="C406" s="16">
        <f t="shared" si="308"/>
        <v>64480332.310000002</v>
      </c>
      <c r="D406" s="16">
        <v>0</v>
      </c>
      <c r="E406" s="16">
        <v>0</v>
      </c>
      <c r="F406" s="16">
        <v>0</v>
      </c>
      <c r="G406" s="16">
        <v>0</v>
      </c>
      <c r="H406" s="16">
        <v>8881736.6899999995</v>
      </c>
      <c r="I406" s="16">
        <f>I407</f>
        <v>11058942.620000001</v>
      </c>
      <c r="J406" s="16">
        <v>0</v>
      </c>
      <c r="K406" s="16">
        <f>725265.27-25265.27</f>
        <v>700000</v>
      </c>
      <c r="L406" s="16">
        <v>17804697.800000001</v>
      </c>
      <c r="M406" s="16">
        <v>26034955.199999999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21"/>
      <c r="U406" s="2"/>
    </row>
    <row r="407" spans="1:22" s="5" customFormat="1" ht="195.75" customHeight="1" x14ac:dyDescent="0.2">
      <c r="A407" s="13">
        <v>392</v>
      </c>
      <c r="B407" s="14" t="s">
        <v>74</v>
      </c>
      <c r="C407" s="16">
        <f t="shared" si="308"/>
        <v>19940679.310000002</v>
      </c>
      <c r="D407" s="16">
        <v>0</v>
      </c>
      <c r="E407" s="16">
        <v>0</v>
      </c>
      <c r="F407" s="16">
        <v>0</v>
      </c>
      <c r="G407" s="16">
        <v>0</v>
      </c>
      <c r="H407" s="16">
        <v>8881736.6899999995</v>
      </c>
      <c r="I407" s="16">
        <f>8925000+2133942.62</f>
        <v>11058942.620000001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21"/>
      <c r="U407" s="2"/>
    </row>
    <row r="408" spans="1:22" s="5" customFormat="1" ht="14.25" x14ac:dyDescent="0.2">
      <c r="A408" s="13">
        <v>393</v>
      </c>
      <c r="B408" s="14" t="s">
        <v>11</v>
      </c>
      <c r="C408" s="16">
        <f t="shared" si="308"/>
        <v>0</v>
      </c>
      <c r="D408" s="16">
        <v>0</v>
      </c>
      <c r="E408" s="16">
        <v>0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21"/>
      <c r="U408" s="2"/>
    </row>
    <row r="409" spans="1:22" s="5" customFormat="1" ht="71.25" x14ac:dyDescent="0.2">
      <c r="A409" s="13">
        <v>394</v>
      </c>
      <c r="B409" s="18" t="s">
        <v>138</v>
      </c>
      <c r="C409" s="17">
        <f>SUM(D409:S409)</f>
        <v>119400</v>
      </c>
      <c r="D409" s="17">
        <f t="shared" ref="D409:O409" si="309">D410+D411+D412+D413</f>
        <v>0</v>
      </c>
      <c r="E409" s="17">
        <f t="shared" si="309"/>
        <v>0</v>
      </c>
      <c r="F409" s="17">
        <f t="shared" si="309"/>
        <v>0</v>
      </c>
      <c r="G409" s="17">
        <f t="shared" si="309"/>
        <v>0</v>
      </c>
      <c r="H409" s="17">
        <f t="shared" si="309"/>
        <v>0</v>
      </c>
      <c r="I409" s="17">
        <f t="shared" si="309"/>
        <v>0</v>
      </c>
      <c r="J409" s="17">
        <f t="shared" si="309"/>
        <v>0</v>
      </c>
      <c r="K409" s="17">
        <f t="shared" si="309"/>
        <v>0</v>
      </c>
      <c r="L409" s="17">
        <f t="shared" si="309"/>
        <v>0</v>
      </c>
      <c r="M409" s="31">
        <f>M410+M411+M412+M413</f>
        <v>119400</v>
      </c>
      <c r="N409" s="31">
        <f t="shared" si="309"/>
        <v>0</v>
      </c>
      <c r="O409" s="31">
        <f t="shared" si="309"/>
        <v>0</v>
      </c>
      <c r="P409" s="31">
        <f t="shared" ref="P409:S409" si="310">P410+P411+P412+P413</f>
        <v>0</v>
      </c>
      <c r="Q409" s="31">
        <f t="shared" si="310"/>
        <v>0</v>
      </c>
      <c r="R409" s="31">
        <f t="shared" si="310"/>
        <v>0</v>
      </c>
      <c r="S409" s="31">
        <f t="shared" si="310"/>
        <v>0</v>
      </c>
      <c r="T409" s="33" t="s">
        <v>92</v>
      </c>
      <c r="U409" s="2"/>
    </row>
    <row r="410" spans="1:22" s="5" customFormat="1" ht="14.25" x14ac:dyDescent="0.2">
      <c r="A410" s="13">
        <v>395</v>
      </c>
      <c r="B410" s="14" t="s">
        <v>8</v>
      </c>
      <c r="C410" s="16">
        <f t="shared" ref="C410:C418" si="311">SUM(D410:S410)</f>
        <v>0</v>
      </c>
      <c r="D410" s="16">
        <v>0</v>
      </c>
      <c r="E410" s="16">
        <v>0</v>
      </c>
      <c r="F410" s="16">
        <v>0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4"/>
      <c r="U410" s="2"/>
    </row>
    <row r="411" spans="1:22" s="5" customFormat="1" ht="14.25" x14ac:dyDescent="0.2">
      <c r="A411" s="13">
        <v>396</v>
      </c>
      <c r="B411" s="14" t="s">
        <v>9</v>
      </c>
      <c r="C411" s="16">
        <f t="shared" si="311"/>
        <v>35800</v>
      </c>
      <c r="D411" s="16">
        <v>0</v>
      </c>
      <c r="E411" s="16">
        <v>0</v>
      </c>
      <c r="F411" s="16">
        <v>0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32">
        <v>35800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4"/>
      <c r="U411" s="2"/>
    </row>
    <row r="412" spans="1:22" s="5" customFormat="1" ht="14.25" x14ac:dyDescent="0.2">
      <c r="A412" s="13">
        <v>397</v>
      </c>
      <c r="B412" s="14" t="s">
        <v>10</v>
      </c>
      <c r="C412" s="16">
        <f t="shared" si="311"/>
        <v>83600</v>
      </c>
      <c r="D412" s="16">
        <v>0</v>
      </c>
      <c r="E412" s="16">
        <v>0</v>
      </c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32">
        <f>41800+41800</f>
        <v>83600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4"/>
      <c r="U412" s="2"/>
    </row>
    <row r="413" spans="1:22" s="5" customFormat="1" ht="14.25" x14ac:dyDescent="0.2">
      <c r="A413" s="13">
        <v>398</v>
      </c>
      <c r="B413" s="14" t="s">
        <v>11</v>
      </c>
      <c r="C413" s="16">
        <f t="shared" si="311"/>
        <v>0</v>
      </c>
      <c r="D413" s="16">
        <v>0</v>
      </c>
      <c r="E413" s="16">
        <v>0</v>
      </c>
      <c r="F413" s="16">
        <v>0</v>
      </c>
      <c r="G413" s="16">
        <v>0</v>
      </c>
      <c r="H413" s="16">
        <v>0</v>
      </c>
      <c r="I413" s="16">
        <v>0</v>
      </c>
      <c r="J413" s="16">
        <v>0</v>
      </c>
      <c r="K413" s="16">
        <v>0</v>
      </c>
      <c r="L413" s="16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4"/>
      <c r="U413" s="2"/>
    </row>
    <row r="414" spans="1:22" s="5" customFormat="1" ht="157.5" customHeight="1" x14ac:dyDescent="0.2">
      <c r="A414" s="13">
        <v>399</v>
      </c>
      <c r="B414" s="18" t="s">
        <v>139</v>
      </c>
      <c r="C414" s="17">
        <f t="shared" si="311"/>
        <v>570000</v>
      </c>
      <c r="D414" s="17">
        <f t="shared" ref="D414:O414" si="312">D415+D416+D417+D418</f>
        <v>0</v>
      </c>
      <c r="E414" s="17">
        <f t="shared" si="312"/>
        <v>0</v>
      </c>
      <c r="F414" s="17">
        <f t="shared" si="312"/>
        <v>0</v>
      </c>
      <c r="G414" s="17">
        <f t="shared" si="312"/>
        <v>0</v>
      </c>
      <c r="H414" s="17">
        <f t="shared" si="312"/>
        <v>0</v>
      </c>
      <c r="I414" s="17">
        <f t="shared" si="312"/>
        <v>0</v>
      </c>
      <c r="J414" s="17">
        <f t="shared" si="312"/>
        <v>0</v>
      </c>
      <c r="K414" s="17">
        <f t="shared" si="312"/>
        <v>0</v>
      </c>
      <c r="L414" s="17">
        <f t="shared" si="312"/>
        <v>0</v>
      </c>
      <c r="M414" s="17">
        <f t="shared" si="312"/>
        <v>570000</v>
      </c>
      <c r="N414" s="17">
        <f t="shared" si="312"/>
        <v>0</v>
      </c>
      <c r="O414" s="17">
        <f t="shared" si="312"/>
        <v>0</v>
      </c>
      <c r="P414" s="17">
        <f t="shared" ref="P414:S414" si="313">P415+P416+P417+P418</f>
        <v>0</v>
      </c>
      <c r="Q414" s="17">
        <f t="shared" si="313"/>
        <v>0</v>
      </c>
      <c r="R414" s="17">
        <f t="shared" si="313"/>
        <v>0</v>
      </c>
      <c r="S414" s="17">
        <f t="shared" si="313"/>
        <v>0</v>
      </c>
      <c r="T414" s="35" t="s">
        <v>98</v>
      </c>
      <c r="U414" s="2"/>
    </row>
    <row r="415" spans="1:22" s="5" customFormat="1" ht="14.25" x14ac:dyDescent="0.2">
      <c r="A415" s="13">
        <v>400</v>
      </c>
      <c r="B415" s="14" t="s">
        <v>8</v>
      </c>
      <c r="C415" s="16">
        <f t="shared" si="311"/>
        <v>0</v>
      </c>
      <c r="D415" s="16">
        <v>0</v>
      </c>
      <c r="E415" s="16">
        <v>0</v>
      </c>
      <c r="F415" s="16">
        <v>0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4"/>
      <c r="U415" s="2"/>
    </row>
    <row r="416" spans="1:22" s="5" customFormat="1" ht="14.25" x14ac:dyDescent="0.2">
      <c r="A416" s="13">
        <v>401</v>
      </c>
      <c r="B416" s="14" t="s">
        <v>9</v>
      </c>
      <c r="C416" s="16">
        <f t="shared" si="311"/>
        <v>0</v>
      </c>
      <c r="D416" s="16">
        <v>0</v>
      </c>
      <c r="E416" s="16">
        <v>0</v>
      </c>
      <c r="F416" s="16">
        <v>0</v>
      </c>
      <c r="G416" s="16">
        <v>0</v>
      </c>
      <c r="H416" s="16">
        <v>0</v>
      </c>
      <c r="I416" s="16">
        <v>0</v>
      </c>
      <c r="J416" s="16">
        <v>0</v>
      </c>
      <c r="K416" s="16">
        <v>0</v>
      </c>
      <c r="L416" s="16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4"/>
      <c r="U416" s="2"/>
    </row>
    <row r="417" spans="1:21" s="5" customFormat="1" ht="14.25" x14ac:dyDescent="0.2">
      <c r="A417" s="13">
        <v>402</v>
      </c>
      <c r="B417" s="14" t="s">
        <v>10</v>
      </c>
      <c r="C417" s="16">
        <f t="shared" si="311"/>
        <v>570000</v>
      </c>
      <c r="D417" s="16">
        <v>0</v>
      </c>
      <c r="E417" s="16">
        <v>0</v>
      </c>
      <c r="F417" s="16">
        <v>0</v>
      </c>
      <c r="G417" s="16">
        <v>0</v>
      </c>
      <c r="H417" s="16">
        <v>0</v>
      </c>
      <c r="I417" s="16">
        <v>0</v>
      </c>
      <c r="J417" s="16">
        <v>0</v>
      </c>
      <c r="K417" s="16">
        <v>0</v>
      </c>
      <c r="L417" s="16">
        <v>0</v>
      </c>
      <c r="M417" s="32">
        <v>570000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4"/>
      <c r="U417" s="2"/>
    </row>
    <row r="418" spans="1:21" s="5" customFormat="1" ht="14.25" x14ac:dyDescent="0.2">
      <c r="A418" s="13">
        <v>403</v>
      </c>
      <c r="B418" s="14" t="s">
        <v>11</v>
      </c>
      <c r="C418" s="16">
        <f t="shared" si="311"/>
        <v>0</v>
      </c>
      <c r="D418" s="16">
        <v>0</v>
      </c>
      <c r="E418" s="16">
        <v>0</v>
      </c>
      <c r="F418" s="16">
        <v>0</v>
      </c>
      <c r="G418" s="16">
        <v>0</v>
      </c>
      <c r="H418" s="16">
        <v>0</v>
      </c>
      <c r="I418" s="16">
        <v>0</v>
      </c>
      <c r="J418" s="16">
        <v>0</v>
      </c>
      <c r="K418" s="16">
        <v>0</v>
      </c>
      <c r="L418" s="16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4"/>
      <c r="U418" s="2"/>
    </row>
    <row r="419" spans="1:21" s="42" customFormat="1" x14ac:dyDescent="0.2">
      <c r="A419" s="43">
        <v>1</v>
      </c>
      <c r="B419" s="43">
        <v>2</v>
      </c>
      <c r="C419" s="43">
        <v>3</v>
      </c>
      <c r="D419" s="43">
        <v>4</v>
      </c>
      <c r="E419" s="43">
        <v>5</v>
      </c>
      <c r="F419" s="43">
        <v>6</v>
      </c>
      <c r="G419" s="43">
        <v>7</v>
      </c>
      <c r="H419" s="43">
        <v>8</v>
      </c>
      <c r="I419" s="43">
        <v>9</v>
      </c>
      <c r="J419" s="43">
        <v>10</v>
      </c>
      <c r="K419" s="43">
        <v>11</v>
      </c>
      <c r="L419" s="43">
        <v>12</v>
      </c>
      <c r="M419" s="43">
        <v>13</v>
      </c>
      <c r="N419" s="43">
        <v>14</v>
      </c>
      <c r="O419" s="43">
        <v>15</v>
      </c>
      <c r="P419" s="43">
        <v>16</v>
      </c>
      <c r="Q419" s="43">
        <v>17</v>
      </c>
      <c r="R419" s="43">
        <v>18</v>
      </c>
      <c r="S419" s="43">
        <v>19</v>
      </c>
      <c r="T419" s="43">
        <v>20</v>
      </c>
      <c r="U419" s="2"/>
    </row>
    <row r="420" spans="1:21" s="5" customFormat="1" ht="22.5" customHeight="1" x14ac:dyDescent="0.2">
      <c r="A420" s="13">
        <v>404</v>
      </c>
      <c r="B420" s="48" t="s">
        <v>31</v>
      </c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2"/>
    </row>
    <row r="421" spans="1:21" s="5" customFormat="1" ht="42.75" x14ac:dyDescent="0.2">
      <c r="A421" s="13">
        <v>405</v>
      </c>
      <c r="B421" s="9" t="s">
        <v>32</v>
      </c>
      <c r="C421" s="17">
        <f>SUM(D421:S421)</f>
        <v>4560339.96</v>
      </c>
      <c r="D421" s="17">
        <f t="shared" ref="D421:N425" si="314">D427</f>
        <v>1497200</v>
      </c>
      <c r="E421" s="17">
        <f t="shared" si="314"/>
        <v>0</v>
      </c>
      <c r="F421" s="17">
        <f t="shared" si="314"/>
        <v>0</v>
      </c>
      <c r="G421" s="17">
        <f t="shared" si="314"/>
        <v>70000</v>
      </c>
      <c r="H421" s="17">
        <f t="shared" si="314"/>
        <v>2644036</v>
      </c>
      <c r="I421" s="17">
        <f t="shared" si="314"/>
        <v>0</v>
      </c>
      <c r="J421" s="17">
        <f t="shared" si="314"/>
        <v>0</v>
      </c>
      <c r="K421" s="17">
        <f t="shared" si="314"/>
        <v>0</v>
      </c>
      <c r="L421" s="17">
        <f t="shared" si="314"/>
        <v>0</v>
      </c>
      <c r="M421" s="17">
        <f>M427</f>
        <v>349103.96</v>
      </c>
      <c r="N421" s="17">
        <f t="shared" si="314"/>
        <v>0</v>
      </c>
      <c r="O421" s="17">
        <f t="shared" ref="O421:S421" si="315">O427</f>
        <v>0</v>
      </c>
      <c r="P421" s="17">
        <f t="shared" si="315"/>
        <v>0</v>
      </c>
      <c r="Q421" s="17">
        <f t="shared" si="315"/>
        <v>0</v>
      </c>
      <c r="R421" s="17">
        <f t="shared" si="315"/>
        <v>0</v>
      </c>
      <c r="S421" s="17">
        <f t="shared" si="315"/>
        <v>0</v>
      </c>
      <c r="T421" s="12"/>
      <c r="U421" s="2"/>
    </row>
    <row r="422" spans="1:21" s="5" customFormat="1" ht="14.25" x14ac:dyDescent="0.2">
      <c r="A422" s="13">
        <v>406</v>
      </c>
      <c r="B422" s="14" t="s">
        <v>8</v>
      </c>
      <c r="C422" s="16">
        <f>SUM(D422:S422)</f>
        <v>698000</v>
      </c>
      <c r="D422" s="16">
        <f>D428</f>
        <v>698000</v>
      </c>
      <c r="E422" s="16">
        <f t="shared" si="314"/>
        <v>0</v>
      </c>
      <c r="F422" s="16">
        <f t="shared" si="314"/>
        <v>0</v>
      </c>
      <c r="G422" s="16">
        <f>G428</f>
        <v>0</v>
      </c>
      <c r="H422" s="16">
        <f t="shared" si="314"/>
        <v>0</v>
      </c>
      <c r="I422" s="16">
        <f t="shared" si="314"/>
        <v>0</v>
      </c>
      <c r="J422" s="16">
        <f t="shared" si="314"/>
        <v>0</v>
      </c>
      <c r="K422" s="16">
        <f t="shared" si="314"/>
        <v>0</v>
      </c>
      <c r="L422" s="16">
        <f t="shared" si="314"/>
        <v>0</v>
      </c>
      <c r="M422" s="16">
        <f>M428</f>
        <v>0</v>
      </c>
      <c r="N422" s="16">
        <f t="shared" si="314"/>
        <v>0</v>
      </c>
      <c r="O422" s="16">
        <f t="shared" ref="O422:S422" si="316">O428</f>
        <v>0</v>
      </c>
      <c r="P422" s="16">
        <f t="shared" si="316"/>
        <v>0</v>
      </c>
      <c r="Q422" s="16">
        <f t="shared" si="316"/>
        <v>0</v>
      </c>
      <c r="R422" s="16">
        <f t="shared" si="316"/>
        <v>0</v>
      </c>
      <c r="S422" s="16">
        <f t="shared" si="316"/>
        <v>0</v>
      </c>
      <c r="T422" s="12"/>
      <c r="U422" s="2"/>
    </row>
    <row r="423" spans="1:21" s="5" customFormat="1" ht="14.25" x14ac:dyDescent="0.2">
      <c r="A423" s="13">
        <v>407</v>
      </c>
      <c r="B423" s="14" t="s">
        <v>9</v>
      </c>
      <c r="C423" s="16">
        <f t="shared" ref="C423:C425" si="317">SUM(D423:S423)</f>
        <v>1739200</v>
      </c>
      <c r="D423" s="16">
        <f>D429</f>
        <v>299200</v>
      </c>
      <c r="E423" s="16">
        <f t="shared" si="314"/>
        <v>0</v>
      </c>
      <c r="F423" s="16">
        <f t="shared" si="314"/>
        <v>0</v>
      </c>
      <c r="G423" s="16">
        <f>G429</f>
        <v>0</v>
      </c>
      <c r="H423" s="16">
        <f t="shared" si="314"/>
        <v>1440000</v>
      </c>
      <c r="I423" s="16">
        <f t="shared" si="314"/>
        <v>0</v>
      </c>
      <c r="J423" s="16">
        <f t="shared" si="314"/>
        <v>0</v>
      </c>
      <c r="K423" s="16">
        <f t="shared" si="314"/>
        <v>0</v>
      </c>
      <c r="L423" s="16">
        <f t="shared" si="314"/>
        <v>0</v>
      </c>
      <c r="M423" s="16">
        <f>M429</f>
        <v>0</v>
      </c>
      <c r="N423" s="16">
        <f t="shared" si="314"/>
        <v>0</v>
      </c>
      <c r="O423" s="16">
        <f t="shared" ref="O423:S423" si="318">O429</f>
        <v>0</v>
      </c>
      <c r="P423" s="16">
        <f t="shared" si="318"/>
        <v>0</v>
      </c>
      <c r="Q423" s="16">
        <f t="shared" si="318"/>
        <v>0</v>
      </c>
      <c r="R423" s="16">
        <f t="shared" si="318"/>
        <v>0</v>
      </c>
      <c r="S423" s="16">
        <f t="shared" si="318"/>
        <v>0</v>
      </c>
      <c r="T423" s="12"/>
      <c r="U423" s="2"/>
    </row>
    <row r="424" spans="1:21" s="5" customFormat="1" ht="14.25" x14ac:dyDescent="0.2">
      <c r="A424" s="13">
        <v>408</v>
      </c>
      <c r="B424" s="14" t="s">
        <v>10</v>
      </c>
      <c r="C424" s="16">
        <f t="shared" si="317"/>
        <v>2123139.96</v>
      </c>
      <c r="D424" s="16">
        <f>D430</f>
        <v>500000</v>
      </c>
      <c r="E424" s="16">
        <f t="shared" si="314"/>
        <v>0</v>
      </c>
      <c r="F424" s="16">
        <f t="shared" si="314"/>
        <v>0</v>
      </c>
      <c r="G424" s="16">
        <f>G430</f>
        <v>70000</v>
      </c>
      <c r="H424" s="16">
        <f t="shared" si="314"/>
        <v>1204036</v>
      </c>
      <c r="I424" s="16">
        <f>I430</f>
        <v>0</v>
      </c>
      <c r="J424" s="16">
        <f t="shared" si="314"/>
        <v>0</v>
      </c>
      <c r="K424" s="16">
        <f t="shared" si="314"/>
        <v>0</v>
      </c>
      <c r="L424" s="16">
        <f t="shared" si="314"/>
        <v>0</v>
      </c>
      <c r="M424" s="16">
        <f>M430</f>
        <v>349103.96</v>
      </c>
      <c r="N424" s="16">
        <f t="shared" si="314"/>
        <v>0</v>
      </c>
      <c r="O424" s="16">
        <f t="shared" ref="O424:S424" si="319">O430</f>
        <v>0</v>
      </c>
      <c r="P424" s="16">
        <f t="shared" si="319"/>
        <v>0</v>
      </c>
      <c r="Q424" s="16">
        <f t="shared" si="319"/>
        <v>0</v>
      </c>
      <c r="R424" s="16">
        <f t="shared" si="319"/>
        <v>0</v>
      </c>
      <c r="S424" s="16">
        <f t="shared" si="319"/>
        <v>0</v>
      </c>
      <c r="T424" s="12"/>
      <c r="U424" s="2"/>
    </row>
    <row r="425" spans="1:21" s="5" customFormat="1" ht="14.25" x14ac:dyDescent="0.2">
      <c r="A425" s="13">
        <v>409</v>
      </c>
      <c r="B425" s="14" t="s">
        <v>11</v>
      </c>
      <c r="C425" s="16">
        <f t="shared" si="317"/>
        <v>0</v>
      </c>
      <c r="D425" s="16">
        <f>D431</f>
        <v>0</v>
      </c>
      <c r="E425" s="16">
        <f t="shared" si="314"/>
        <v>0</v>
      </c>
      <c r="F425" s="16">
        <f t="shared" si="314"/>
        <v>0</v>
      </c>
      <c r="G425" s="16">
        <f>G431</f>
        <v>0</v>
      </c>
      <c r="H425" s="16">
        <f t="shared" si="314"/>
        <v>0</v>
      </c>
      <c r="I425" s="16">
        <f t="shared" si="314"/>
        <v>0</v>
      </c>
      <c r="J425" s="16">
        <f t="shared" si="314"/>
        <v>0</v>
      </c>
      <c r="K425" s="16">
        <f t="shared" si="314"/>
        <v>0</v>
      </c>
      <c r="L425" s="16">
        <f t="shared" si="314"/>
        <v>0</v>
      </c>
      <c r="M425" s="16">
        <f>M431</f>
        <v>0</v>
      </c>
      <c r="N425" s="16">
        <f t="shared" si="314"/>
        <v>0</v>
      </c>
      <c r="O425" s="16">
        <f t="shared" ref="O425:S425" si="320">O431</f>
        <v>0</v>
      </c>
      <c r="P425" s="16">
        <f t="shared" si="320"/>
        <v>0</v>
      </c>
      <c r="Q425" s="16">
        <f t="shared" si="320"/>
        <v>0</v>
      </c>
      <c r="R425" s="16">
        <f t="shared" si="320"/>
        <v>0</v>
      </c>
      <c r="S425" s="16">
        <f t="shared" si="320"/>
        <v>0</v>
      </c>
      <c r="T425" s="12"/>
      <c r="U425" s="2"/>
    </row>
    <row r="426" spans="1:21" s="5" customFormat="1" ht="15" x14ac:dyDescent="0.2">
      <c r="A426" s="13">
        <v>410</v>
      </c>
      <c r="B426" s="45" t="s">
        <v>33</v>
      </c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2"/>
    </row>
    <row r="427" spans="1:21" s="5" customFormat="1" ht="35.25" customHeight="1" x14ac:dyDescent="0.2">
      <c r="A427" s="13">
        <v>411</v>
      </c>
      <c r="B427" s="9" t="s">
        <v>15</v>
      </c>
      <c r="C427" s="17">
        <f>SUM(D427:S427)</f>
        <v>4560339.96</v>
      </c>
      <c r="D427" s="16">
        <f t="shared" ref="D427:I427" si="321">D428+D429+D430+D431</f>
        <v>1497200</v>
      </c>
      <c r="E427" s="16">
        <f t="shared" si="321"/>
        <v>0</v>
      </c>
      <c r="F427" s="16">
        <f t="shared" si="321"/>
        <v>0</v>
      </c>
      <c r="G427" s="16">
        <f t="shared" si="321"/>
        <v>70000</v>
      </c>
      <c r="H427" s="16">
        <f t="shared" si="321"/>
        <v>2644036</v>
      </c>
      <c r="I427" s="16">
        <f t="shared" si="321"/>
        <v>0</v>
      </c>
      <c r="J427" s="16">
        <f t="shared" ref="J427:O427" si="322">J428+J429+J430+J431</f>
        <v>0</v>
      </c>
      <c r="K427" s="16">
        <f t="shared" si="322"/>
        <v>0</v>
      </c>
      <c r="L427" s="16">
        <f t="shared" si="322"/>
        <v>0</v>
      </c>
      <c r="M427" s="16">
        <f t="shared" si="322"/>
        <v>349103.96</v>
      </c>
      <c r="N427" s="16">
        <f t="shared" si="322"/>
        <v>0</v>
      </c>
      <c r="O427" s="16">
        <f t="shared" si="322"/>
        <v>0</v>
      </c>
      <c r="P427" s="16">
        <f t="shared" ref="P427:S427" si="323">P428+P429+P430+P431</f>
        <v>0</v>
      </c>
      <c r="Q427" s="16">
        <f t="shared" si="323"/>
        <v>0</v>
      </c>
      <c r="R427" s="16">
        <f t="shared" si="323"/>
        <v>0</v>
      </c>
      <c r="S427" s="16">
        <f t="shared" si="323"/>
        <v>0</v>
      </c>
      <c r="T427" s="21"/>
      <c r="U427" s="2"/>
    </row>
    <row r="428" spans="1:21" s="5" customFormat="1" ht="14.25" x14ac:dyDescent="0.2">
      <c r="A428" s="13">
        <v>412</v>
      </c>
      <c r="B428" s="14" t="s">
        <v>8</v>
      </c>
      <c r="C428" s="16">
        <f>SUM(D428:S428)</f>
        <v>698000</v>
      </c>
      <c r="D428" s="16">
        <v>698000</v>
      </c>
      <c r="E428" s="16">
        <v>0</v>
      </c>
      <c r="F428" s="16">
        <v>0</v>
      </c>
      <c r="G428" s="16">
        <f>G433</f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21"/>
      <c r="U428" s="2"/>
    </row>
    <row r="429" spans="1:21" s="5" customFormat="1" ht="14.25" x14ac:dyDescent="0.2">
      <c r="A429" s="13">
        <v>413</v>
      </c>
      <c r="B429" s="14" t="s">
        <v>9</v>
      </c>
      <c r="C429" s="16">
        <f t="shared" ref="C429:C431" si="324">SUM(D429:S429)</f>
        <v>1739200</v>
      </c>
      <c r="D429" s="16">
        <v>299200</v>
      </c>
      <c r="E429" s="16">
        <v>0</v>
      </c>
      <c r="F429" s="16">
        <v>0</v>
      </c>
      <c r="G429" s="16">
        <f>G434</f>
        <v>0</v>
      </c>
      <c r="H429" s="16">
        <f>H434</f>
        <v>1440000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21"/>
      <c r="U429" s="2"/>
    </row>
    <row r="430" spans="1:21" s="5" customFormat="1" ht="14.25" x14ac:dyDescent="0.2">
      <c r="A430" s="13">
        <v>414</v>
      </c>
      <c r="B430" s="14" t="s">
        <v>10</v>
      </c>
      <c r="C430" s="16">
        <f t="shared" si="324"/>
        <v>2123139.96</v>
      </c>
      <c r="D430" s="16">
        <v>500000</v>
      </c>
      <c r="E430" s="16">
        <v>0</v>
      </c>
      <c r="F430" s="16">
        <v>0</v>
      </c>
      <c r="G430" s="16">
        <f>G435</f>
        <v>70000</v>
      </c>
      <c r="H430" s="16">
        <f>H435</f>
        <v>1204036</v>
      </c>
      <c r="I430" s="16">
        <f t="shared" ref="I430:N430" si="325">I435</f>
        <v>0</v>
      </c>
      <c r="J430" s="16">
        <f t="shared" si="325"/>
        <v>0</v>
      </c>
      <c r="K430" s="16">
        <f t="shared" si="325"/>
        <v>0</v>
      </c>
      <c r="L430" s="16">
        <f t="shared" si="325"/>
        <v>0</v>
      </c>
      <c r="M430" s="16">
        <f t="shared" si="325"/>
        <v>349103.96</v>
      </c>
      <c r="N430" s="16">
        <f t="shared" si="325"/>
        <v>0</v>
      </c>
      <c r="O430" s="16">
        <f t="shared" ref="O430:S430" si="326">O435</f>
        <v>0</v>
      </c>
      <c r="P430" s="16">
        <f t="shared" si="326"/>
        <v>0</v>
      </c>
      <c r="Q430" s="16">
        <f t="shared" si="326"/>
        <v>0</v>
      </c>
      <c r="R430" s="16">
        <f t="shared" si="326"/>
        <v>0</v>
      </c>
      <c r="S430" s="16">
        <f t="shared" si="326"/>
        <v>0</v>
      </c>
      <c r="T430" s="21"/>
      <c r="U430" s="2"/>
    </row>
    <row r="431" spans="1:21" s="5" customFormat="1" ht="14.25" x14ac:dyDescent="0.2">
      <c r="A431" s="13">
        <v>415</v>
      </c>
      <c r="B431" s="14" t="s">
        <v>11</v>
      </c>
      <c r="C431" s="16">
        <f t="shared" si="324"/>
        <v>0</v>
      </c>
      <c r="D431" s="16">
        <v>0</v>
      </c>
      <c r="E431" s="16">
        <v>0</v>
      </c>
      <c r="F431" s="16">
        <v>0</v>
      </c>
      <c r="G431" s="16">
        <f>G436</f>
        <v>0</v>
      </c>
      <c r="H431" s="16">
        <v>0</v>
      </c>
      <c r="I431" s="16">
        <v>0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21"/>
      <c r="U431" s="2"/>
    </row>
    <row r="432" spans="1:21" s="5" customFormat="1" ht="121.5" customHeight="1" x14ac:dyDescent="0.2">
      <c r="A432" s="13">
        <v>416</v>
      </c>
      <c r="B432" s="18" t="s">
        <v>140</v>
      </c>
      <c r="C432" s="17">
        <f>SUM(D432:S432)</f>
        <v>4560339.96</v>
      </c>
      <c r="D432" s="17">
        <f t="shared" ref="D432:I432" si="327">SUM(D433:D436)</f>
        <v>1497200</v>
      </c>
      <c r="E432" s="17">
        <f t="shared" si="327"/>
        <v>0</v>
      </c>
      <c r="F432" s="17">
        <f t="shared" si="327"/>
        <v>0</v>
      </c>
      <c r="G432" s="17">
        <f t="shared" si="327"/>
        <v>70000</v>
      </c>
      <c r="H432" s="17">
        <f t="shared" si="327"/>
        <v>2644036</v>
      </c>
      <c r="I432" s="17">
        <f t="shared" si="327"/>
        <v>0</v>
      </c>
      <c r="J432" s="17">
        <f t="shared" ref="J432:O432" si="328">SUM(J433:J436)</f>
        <v>0</v>
      </c>
      <c r="K432" s="17">
        <f t="shared" si="328"/>
        <v>0</v>
      </c>
      <c r="L432" s="17">
        <f t="shared" si="328"/>
        <v>0</v>
      </c>
      <c r="M432" s="17">
        <f t="shared" si="328"/>
        <v>349103.96</v>
      </c>
      <c r="N432" s="17">
        <f t="shared" si="328"/>
        <v>0</v>
      </c>
      <c r="O432" s="17">
        <f t="shared" si="328"/>
        <v>0</v>
      </c>
      <c r="P432" s="17">
        <f t="shared" ref="P432:S432" si="329">SUM(P433:P436)</f>
        <v>0</v>
      </c>
      <c r="Q432" s="17">
        <f t="shared" si="329"/>
        <v>0</v>
      </c>
      <c r="R432" s="17">
        <f t="shared" si="329"/>
        <v>0</v>
      </c>
      <c r="S432" s="17">
        <f t="shared" si="329"/>
        <v>0</v>
      </c>
      <c r="T432" s="8" t="s">
        <v>72</v>
      </c>
      <c r="U432" s="2"/>
    </row>
    <row r="433" spans="1:21" s="5" customFormat="1" ht="14.25" x14ac:dyDescent="0.2">
      <c r="A433" s="13">
        <v>417</v>
      </c>
      <c r="B433" s="14" t="s">
        <v>8</v>
      </c>
      <c r="C433" s="16">
        <f>SUM(D433:S433)</f>
        <v>698000</v>
      </c>
      <c r="D433" s="16">
        <v>698000</v>
      </c>
      <c r="E433" s="16">
        <v>0</v>
      </c>
      <c r="F433" s="16">
        <v>0</v>
      </c>
      <c r="G433" s="16">
        <v>0</v>
      </c>
      <c r="H433" s="16">
        <v>0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21"/>
      <c r="U433" s="2"/>
    </row>
    <row r="434" spans="1:21" s="5" customFormat="1" ht="14.25" x14ac:dyDescent="0.2">
      <c r="A434" s="13">
        <v>418</v>
      </c>
      <c r="B434" s="14" t="s">
        <v>9</v>
      </c>
      <c r="C434" s="16">
        <f t="shared" ref="C434:C436" si="330">SUM(D434:S434)</f>
        <v>1739200</v>
      </c>
      <c r="D434" s="16">
        <v>299200</v>
      </c>
      <c r="E434" s="16">
        <v>0</v>
      </c>
      <c r="F434" s="16">
        <v>0</v>
      </c>
      <c r="G434" s="16">
        <v>0</v>
      </c>
      <c r="H434" s="16">
        <f>918000+522000</f>
        <v>1440000</v>
      </c>
      <c r="I434" s="16">
        <v>0</v>
      </c>
      <c r="J434" s="16">
        <v>0</v>
      </c>
      <c r="K434" s="16">
        <v>0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21"/>
      <c r="U434" s="2"/>
    </row>
    <row r="435" spans="1:21" s="5" customFormat="1" ht="14.25" x14ac:dyDescent="0.2">
      <c r="A435" s="13">
        <v>419</v>
      </c>
      <c r="B435" s="14" t="s">
        <v>10</v>
      </c>
      <c r="C435" s="16">
        <f t="shared" si="330"/>
        <v>2123139.96</v>
      </c>
      <c r="D435" s="16">
        <v>500000</v>
      </c>
      <c r="E435" s="16">
        <v>0</v>
      </c>
      <c r="F435" s="16">
        <v>0</v>
      </c>
      <c r="G435" s="16">
        <v>70000</v>
      </c>
      <c r="H435" s="16">
        <f>70000+1134036</f>
        <v>1204036</v>
      </c>
      <c r="I435" s="16">
        <v>0</v>
      </c>
      <c r="J435" s="16">
        <v>0</v>
      </c>
      <c r="K435" s="16">
        <v>0</v>
      </c>
      <c r="L435" s="16">
        <v>0</v>
      </c>
      <c r="M435" s="16">
        <v>349103.96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21"/>
      <c r="U435" s="2"/>
    </row>
    <row r="436" spans="1:21" s="5" customFormat="1" ht="14.25" x14ac:dyDescent="0.2">
      <c r="A436" s="13">
        <v>420</v>
      </c>
      <c r="B436" s="14" t="s">
        <v>11</v>
      </c>
      <c r="C436" s="16">
        <f t="shared" si="330"/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  <c r="L436" s="16">
        <v>0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21"/>
      <c r="U436" s="2"/>
    </row>
    <row r="437" spans="1:21" s="5" customFormat="1" x14ac:dyDescent="0.2">
      <c r="A437" s="1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U437" s="2"/>
    </row>
    <row r="438" spans="1:21" s="5" customFormat="1" ht="48" customHeight="1" x14ac:dyDescent="0.2">
      <c r="A438" s="1"/>
      <c r="B438" s="47" t="s">
        <v>159</v>
      </c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2"/>
    </row>
    <row r="441" spans="1:21" x14ac:dyDescent="0.2">
      <c r="T441" s="38"/>
    </row>
    <row r="442" spans="1:21" x14ac:dyDescent="0.2">
      <c r="T442" s="38"/>
    </row>
  </sheetData>
  <mergeCells count="26">
    <mergeCell ref="L2:T2"/>
    <mergeCell ref="B3:T3"/>
    <mergeCell ref="A5:A6"/>
    <mergeCell ref="B5:B6"/>
    <mergeCell ref="T5:T6"/>
    <mergeCell ref="C5:S5"/>
    <mergeCell ref="B294:T294"/>
    <mergeCell ref="B23:T23"/>
    <mergeCell ref="B29:T29"/>
    <mergeCell ref="B40:T40"/>
    <mergeCell ref="B46:T46"/>
    <mergeCell ref="B99:T99"/>
    <mergeCell ref="B105:T105"/>
    <mergeCell ref="B177:T177"/>
    <mergeCell ref="B183:T183"/>
    <mergeCell ref="B210:T210"/>
    <mergeCell ref="B216:T216"/>
    <mergeCell ref="B288:T288"/>
    <mergeCell ref="B426:T426"/>
    <mergeCell ref="B438:T438"/>
    <mergeCell ref="B331:T331"/>
    <mergeCell ref="B337:T337"/>
    <mergeCell ref="B344:T344"/>
    <mergeCell ref="B350:T350"/>
    <mergeCell ref="B356:T356"/>
    <mergeCell ref="B420:T420"/>
  </mergeCells>
  <pageMargins left="0.19685039370078741" right="0.15748031496062992" top="0.32870370370370372" bottom="0.19685039370078741" header="0.19685039370078741" footer="0.15748031496062992"/>
  <pageSetup paperSize="9" scale="40" firstPageNumber="19" fitToHeight="0" orientation="landscape" useFirstPageNumber="1" r:id="rId1"/>
  <headerFooter>
    <oddHeader>&amp;L
&amp;C&amp;"Liberation Serif,обычный"&amp;14&amp;P</oddHeader>
  </headerFooter>
  <rowBreaks count="9" manualBreakCount="9">
    <brk id="56" max="19" man="1"/>
    <brk id="97" max="19" man="1"/>
    <brk id="150" max="19" man="1"/>
    <brk id="203" max="19" man="1"/>
    <brk id="251" max="19" man="1"/>
    <brk id="299" max="19" man="1"/>
    <brk id="342" max="19" man="1"/>
    <brk id="386" max="19" man="1"/>
    <brk id="41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мероприятий</vt:lpstr>
      <vt:lpstr>'план мероприятий'!Область_печати</vt:lpstr>
    </vt:vector>
  </TitlesOfParts>
  <Company>Internet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Hacker's</dc:creator>
  <cp:lastModifiedBy>USER</cp:lastModifiedBy>
  <cp:lastPrinted>2025-02-14T04:50:12Z</cp:lastPrinted>
  <dcterms:created xsi:type="dcterms:W3CDTF">2016-03-08T05:31:44Z</dcterms:created>
  <dcterms:modified xsi:type="dcterms:W3CDTF">2025-02-14T04:50:14Z</dcterms:modified>
</cp:coreProperties>
</file>